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LICITAÇÕES 2022\03 - PREGÃO PRESENCIAL\PP 28 2022 coleta seletiva RSU triagem e destino final de rejeitos\"/>
    </mc:Choice>
  </mc:AlternateContent>
  <bookViews>
    <workbookView xWindow="0" yWindow="0" windowWidth="11940" windowHeight="4635" tabRatio="802"/>
  </bookViews>
  <sheets>
    <sheet name="1. Coleta Domiciliar" sheetId="2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  <sheet name="7. Dimensionamento" sheetId="9" r:id="rId7"/>
  </sheets>
  <definedNames>
    <definedName name="AbaDeprec">'5. Depreciação'!$A$1</definedName>
    <definedName name="AbaRemun">'6.Remuneração de capital'!$A$1</definedName>
    <definedName name="_xlnm.Print_Area" localSheetId="0">'1. Coleta Domiciliar'!$A$1:$F$344</definedName>
    <definedName name="_xlnm.Print_Area" localSheetId="1">'2.Encargos Sociais'!$A$1:$C$39</definedName>
    <definedName name="_xlnm.Print_Titles" localSheetId="0">'1. Coleta Domiciliar'!$1:$8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9" l="1"/>
  <c r="C14" i="9" s="1"/>
  <c r="E45" i="2" l="1"/>
  <c r="E44" i="2"/>
  <c r="A45" i="2"/>
  <c r="A44" i="2"/>
  <c r="E329" i="2"/>
  <c r="F330" i="2" s="1"/>
  <c r="E30" i="2" s="1"/>
  <c r="E240" i="2"/>
  <c r="C296" i="2"/>
  <c r="C294" i="2"/>
  <c r="E294" i="2" s="1"/>
  <c r="E292" i="2"/>
  <c r="D281" i="2"/>
  <c r="D279" i="2"/>
  <c r="D277" i="2"/>
  <c r="D275" i="2"/>
  <c r="D273" i="2"/>
  <c r="C273" i="2"/>
  <c r="C287" i="2" s="1"/>
  <c r="E287" i="2" s="1"/>
  <c r="F288" i="2" s="1"/>
  <c r="C263" i="2"/>
  <c r="E263" i="2" s="1"/>
  <c r="C262" i="2"/>
  <c r="E262" i="2" s="1"/>
  <c r="C261" i="2"/>
  <c r="C255" i="2"/>
  <c r="C250" i="2"/>
  <c r="D249" i="2"/>
  <c r="D244" i="2"/>
  <c r="E244" i="2" s="1"/>
  <c r="D261" i="2" s="1"/>
  <c r="C236" i="2"/>
  <c r="C232" i="2"/>
  <c r="C249" i="2" s="1"/>
  <c r="C231" i="2"/>
  <c r="E227" i="2"/>
  <c r="C306" i="2"/>
  <c r="E306" i="2" s="1"/>
  <c r="C307" i="2"/>
  <c r="E307" i="2" s="1"/>
  <c r="E308" i="2"/>
  <c r="C309" i="2"/>
  <c r="E309" i="2" s="1"/>
  <c r="C310" i="2"/>
  <c r="E310" i="2" s="1"/>
  <c r="C318" i="2"/>
  <c r="E318" i="2" s="1"/>
  <c r="D319" i="2" s="1"/>
  <c r="E319" i="2" s="1"/>
  <c r="E322" i="2"/>
  <c r="E249" i="2" l="1"/>
  <c r="D295" i="2"/>
  <c r="E295" i="2" s="1"/>
  <c r="D296" i="2" s="1"/>
  <c r="E296" i="2" s="1"/>
  <c r="F297" i="2" s="1"/>
  <c r="E232" i="2"/>
  <c r="C251" i="2" s="1"/>
  <c r="D282" i="2"/>
  <c r="C246" i="2"/>
  <c r="E273" i="2"/>
  <c r="C277" i="2"/>
  <c r="E277" i="2" s="1"/>
  <c r="F311" i="2"/>
  <c r="F313" i="2" s="1"/>
  <c r="D230" i="2"/>
  <c r="E230" i="2" s="1"/>
  <c r="D231" i="2" s="1"/>
  <c r="E231" i="2" s="1"/>
  <c r="C275" i="2"/>
  <c r="E275" i="2" s="1"/>
  <c r="C281" i="2"/>
  <c r="E281" i="2" s="1"/>
  <c r="C279" i="2"/>
  <c r="E279" i="2" s="1"/>
  <c r="C320" i="2"/>
  <c r="E320" i="2" s="1"/>
  <c r="D321" i="2" s="1"/>
  <c r="E321" i="2" s="1"/>
  <c r="F322" i="2" s="1"/>
  <c r="F324" i="2" s="1"/>
  <c r="D235" i="2" l="1"/>
  <c r="E235" i="2" s="1"/>
  <c r="D236" i="2" s="1"/>
  <c r="E236" i="2" s="1"/>
  <c r="E237" i="2" s="1"/>
  <c r="D238" i="2" s="1"/>
  <c r="F283" i="2"/>
  <c r="C247" i="2"/>
  <c r="D248" i="2" s="1"/>
  <c r="E248" i="2" s="1"/>
  <c r="E136" i="2"/>
  <c r="E123" i="2"/>
  <c r="D136" i="2"/>
  <c r="C252" i="2" l="1"/>
  <c r="D253" i="2" s="1"/>
  <c r="E253" i="2" s="1"/>
  <c r="E254" i="2" s="1"/>
  <c r="D255" i="2" s="1"/>
  <c r="D256" i="2" s="1"/>
  <c r="E256" i="2" s="1"/>
  <c r="D239" i="2"/>
  <c r="E239" i="2" s="1"/>
  <c r="E238" i="2"/>
  <c r="E255" i="2" l="1"/>
  <c r="F257" i="2" s="1"/>
  <c r="F240" i="2"/>
  <c r="C69" i="2"/>
  <c r="A19" i="2" l="1"/>
  <c r="C21" i="9" l="1"/>
  <c r="C22" i="5" l="1"/>
  <c r="C183" i="2" l="1"/>
  <c r="C182" i="2"/>
  <c r="C184" i="2"/>
  <c r="A31" i="2" l="1"/>
  <c r="A29" i="2"/>
  <c r="A28" i="2"/>
  <c r="A25" i="2"/>
  <c r="A24" i="2"/>
  <c r="C15" i="9" l="1"/>
  <c r="C17" i="9"/>
  <c r="C22" i="9" s="1"/>
  <c r="C24" i="9" s="1"/>
  <c r="C151" i="2"/>
  <c r="C156" i="2"/>
  <c r="E40" i="2" l="1"/>
  <c r="E39" i="2"/>
  <c r="E38" i="2"/>
  <c r="E37" i="2"/>
  <c r="C124" i="2" l="1"/>
  <c r="C137" i="2"/>
  <c r="C176" i="2"/>
  <c r="C171" i="2"/>
  <c r="D202" i="2"/>
  <c r="D200" i="2"/>
  <c r="D198" i="2"/>
  <c r="D196" i="2"/>
  <c r="D130" i="2" l="1"/>
  <c r="E130" i="2" s="1"/>
  <c r="E115" i="2"/>
  <c r="E116" i="2"/>
  <c r="E117" i="2"/>
  <c r="E118" i="2"/>
  <c r="E119" i="2"/>
  <c r="E120" i="2"/>
  <c r="E121" i="2"/>
  <c r="E122" i="2"/>
  <c r="E114" i="2"/>
  <c r="D124" i="2" l="1"/>
  <c r="D56" i="2"/>
  <c r="E56" i="2" s="1"/>
  <c r="D55" i="2"/>
  <c r="E55" i="2" s="1"/>
  <c r="D57" i="2" l="1"/>
  <c r="E57" i="2" s="1"/>
  <c r="C217" i="2" l="1"/>
  <c r="D93" i="2"/>
  <c r="A26" i="2"/>
  <c r="A23" i="2"/>
  <c r="A22" i="2"/>
  <c r="A21" i="2"/>
  <c r="A20" i="2"/>
  <c r="C20" i="8"/>
  <c r="E186" i="2"/>
  <c r="E178" i="2"/>
  <c r="E161" i="2"/>
  <c r="E138" i="2"/>
  <c r="E125" i="2"/>
  <c r="E102" i="2"/>
  <c r="D165" i="2"/>
  <c r="C15" i="4"/>
  <c r="C20" i="4" s="1"/>
  <c r="C337" i="2" s="1"/>
  <c r="F13" i="4"/>
  <c r="E13" i="4"/>
  <c r="D13" i="4"/>
  <c r="C17" i="8"/>
  <c r="C24" i="5"/>
  <c r="C97" i="2"/>
  <c r="C95" i="2"/>
  <c r="E80" i="2"/>
  <c r="C215" i="2"/>
  <c r="E215" i="2" s="1"/>
  <c r="C194" i="2"/>
  <c r="C196" i="2" s="1"/>
  <c r="E196" i="2" s="1"/>
  <c r="D194" i="2"/>
  <c r="D203" i="2" s="1"/>
  <c r="E148" i="2"/>
  <c r="E261" i="2" s="1"/>
  <c r="D264" i="2" s="1"/>
  <c r="E264" i="2" s="1"/>
  <c r="F265" i="2" s="1"/>
  <c r="F299" i="2" s="1"/>
  <c r="E27" i="2" s="1"/>
  <c r="C157" i="2"/>
  <c r="C152" i="2"/>
  <c r="C153" i="2"/>
  <c r="C170" i="2" s="1"/>
  <c r="A37" i="2"/>
  <c r="A38" i="2"/>
  <c r="A39" i="2"/>
  <c r="A40" i="2"/>
  <c r="E54" i="2"/>
  <c r="D131" i="2"/>
  <c r="E131" i="2" s="1"/>
  <c r="D132" i="2"/>
  <c r="E132" i="2" s="1"/>
  <c r="D133" i="2"/>
  <c r="E133" i="2" s="1"/>
  <c r="D134" i="2"/>
  <c r="E134" i="2" s="1"/>
  <c r="D135" i="2"/>
  <c r="E135" i="2" s="1"/>
  <c r="E213" i="2"/>
  <c r="E184" i="2"/>
  <c r="E183" i="2"/>
  <c r="D83" i="2"/>
  <c r="E83" i="2" s="1"/>
  <c r="D137" i="2" l="1"/>
  <c r="E137" i="2" s="1"/>
  <c r="C26" i="5"/>
  <c r="C27" i="5" s="1"/>
  <c r="C25" i="5"/>
  <c r="C31" i="8" s="1"/>
  <c r="D151" i="2"/>
  <c r="E151" i="2" s="1"/>
  <c r="D182" i="2"/>
  <c r="E92" i="2"/>
  <c r="D95" i="2"/>
  <c r="E95" i="2" s="1"/>
  <c r="D69" i="2"/>
  <c r="E69" i="2" s="1"/>
  <c r="C200" i="2"/>
  <c r="E200" i="2" s="1"/>
  <c r="C202" i="2"/>
  <c r="E202" i="2" s="1"/>
  <c r="E28" i="2"/>
  <c r="E194" i="2"/>
  <c r="E67" i="2"/>
  <c r="E153" i="2"/>
  <c r="C172" i="2" s="1"/>
  <c r="E41" i="2"/>
  <c r="E170" i="2"/>
  <c r="D58" i="2"/>
  <c r="E58" i="2" s="1"/>
  <c r="E59" i="2" s="1"/>
  <c r="D60" i="2" s="1"/>
  <c r="C198" i="2"/>
  <c r="E198" i="2" s="1"/>
  <c r="C208" i="2"/>
  <c r="E208" i="2" s="1"/>
  <c r="F209" i="2" s="1"/>
  <c r="E29" i="2"/>
  <c r="E165" i="2"/>
  <c r="D216" i="2"/>
  <c r="E216" i="2" s="1"/>
  <c r="D217" i="2" s="1"/>
  <c r="E217" i="2" s="1"/>
  <c r="F218" i="2" s="1"/>
  <c r="E84" i="2"/>
  <c r="C30" i="8" l="1"/>
  <c r="C32" i="5"/>
  <c r="D152" i="2"/>
  <c r="E152" i="2" s="1"/>
  <c r="E182" i="2"/>
  <c r="D185" i="2" s="1"/>
  <c r="E185" i="2" s="1"/>
  <c r="F186" i="2" s="1"/>
  <c r="C167" i="2"/>
  <c r="C168" i="2" s="1"/>
  <c r="D169" i="2" s="1"/>
  <c r="E169" i="2" s="1"/>
  <c r="C28" i="8"/>
  <c r="D70" i="2"/>
  <c r="D97" i="2"/>
  <c r="E97" i="2" s="1"/>
  <c r="F138" i="2"/>
  <c r="E124" i="2"/>
  <c r="F125" i="2" s="1"/>
  <c r="D156" i="2"/>
  <c r="E156" i="2" s="1"/>
  <c r="D157" i="2" s="1"/>
  <c r="E157" i="2" s="1"/>
  <c r="F204" i="2"/>
  <c r="D85" i="2"/>
  <c r="C27" i="8" l="1"/>
  <c r="C35" i="8" s="1"/>
  <c r="C19" i="8"/>
  <c r="E70" i="2"/>
  <c r="D71" i="2"/>
  <c r="E71" i="2" s="1"/>
  <c r="E158" i="2"/>
  <c r="D159" i="2" s="1"/>
  <c r="C173" i="2"/>
  <c r="D174" i="2" s="1"/>
  <c r="E174" i="2" s="1"/>
  <c r="E175" i="2" s="1"/>
  <c r="D176" i="2" s="1"/>
  <c r="F140" i="2"/>
  <c r="E24" i="2" s="1"/>
  <c r="E98" i="2"/>
  <c r="D99" i="2" s="1"/>
  <c r="C29" i="8" l="1"/>
  <c r="C32" i="8" s="1"/>
  <c r="E72" i="2"/>
  <c r="D73" i="2" s="1"/>
  <c r="E176" i="2"/>
  <c r="D177" i="2"/>
  <c r="E177" i="2" s="1"/>
  <c r="C25" i="8"/>
  <c r="E159" i="2"/>
  <c r="D160" i="2"/>
  <c r="E160" i="2" s="1"/>
  <c r="C34" i="8" l="1"/>
  <c r="C36" i="8" s="1"/>
  <c r="C37" i="8" s="1"/>
  <c r="F178" i="2"/>
  <c r="F161" i="2"/>
  <c r="C60" i="2" l="1"/>
  <c r="E60" i="2" s="1"/>
  <c r="E61" i="2" s="1"/>
  <c r="D62" i="2" s="1"/>
  <c r="E62" i="2" s="1"/>
  <c r="F63" i="2" s="1"/>
  <c r="E20" i="2" s="1"/>
  <c r="C99" i="2"/>
  <c r="E99" i="2" s="1"/>
  <c r="E100" i="2" s="1"/>
  <c r="D101" i="2" s="1"/>
  <c r="E101" i="2" s="1"/>
  <c r="F102" i="2" s="1"/>
  <c r="C73" i="2"/>
  <c r="E73" i="2" s="1"/>
  <c r="E74" i="2" s="1"/>
  <c r="D75" i="2" s="1"/>
  <c r="E75" i="2" s="1"/>
  <c r="F76" i="2" s="1"/>
  <c r="E21" i="2" s="1"/>
  <c r="C85" i="2"/>
  <c r="E85" i="2" s="1"/>
  <c r="E86" i="2" s="1"/>
  <c r="D87" i="2" s="1"/>
  <c r="E87" i="2" s="1"/>
  <c r="F88" i="2" s="1"/>
  <c r="E22" i="2" s="1"/>
  <c r="F221" i="2"/>
  <c r="F107" i="2" l="1"/>
  <c r="F332" i="2" s="1"/>
  <c r="E23" i="2"/>
  <c r="F300" i="2"/>
  <c r="E25" i="2" s="1"/>
  <c r="E26" i="2"/>
  <c r="D337" i="2" l="1"/>
  <c r="E337" i="2" s="1"/>
  <c r="F338" i="2" s="1"/>
  <c r="F340" i="2" s="1"/>
  <c r="F343" i="2" s="1"/>
  <c r="E19" i="2"/>
  <c r="E31" i="2" l="1"/>
  <c r="E32" i="2" s="1"/>
  <c r="F30" i="2" l="1"/>
  <c r="F20" i="2"/>
  <c r="F27" i="2"/>
  <c r="F19" i="2"/>
  <c r="F22" i="2"/>
  <c r="F23" i="2"/>
  <c r="F21" i="2"/>
  <c r="F31" i="2"/>
  <c r="F28" i="2"/>
  <c r="F26" i="2"/>
  <c r="F25" i="2"/>
  <c r="F24" i="2"/>
  <c r="F29" i="2"/>
  <c r="F32" i="2" l="1"/>
</calcChain>
</file>

<file path=xl/comments1.xml><?xml version="1.0" encoding="utf-8"?>
<comments xmlns="http://schemas.openxmlformats.org/spreadsheetml/2006/main">
  <authors>
    <author>Clauber Bridi</author>
  </authors>
  <commentList>
    <comment ref="A17" authorId="0" shape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8" authorId="0" shape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4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55" authorId="0" shapeId="0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6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57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0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62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68" authorId="0" shape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73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75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80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81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82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83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85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7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94" authorId="0" shape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96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99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01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114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4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5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6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7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7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1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3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3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3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33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34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35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8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49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50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51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3" authorId="0" shape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54" authorId="0" shape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55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56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9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166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3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184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190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193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193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195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195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197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197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199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199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01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201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08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13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13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14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15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16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todas as recapagens, em km
</t>
        </r>
      </text>
    </comment>
    <comment ref="D227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228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229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230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2" authorId="0" shape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233" authorId="0" shape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234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235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8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245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2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263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269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272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72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74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74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276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76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278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278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80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280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87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92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92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93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94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95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todas as recapagens, em km
</t>
        </r>
      </text>
    </comment>
    <comment ref="C306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30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307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307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308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30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309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30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310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31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315" authorId="0" shape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18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D320" authorId="0" shape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D329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C337" authorId="0" shapeId="0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3.xml><?xml version="1.0" encoding="utf-8"?>
<comments xmlns="http://schemas.openxmlformats.org/spreadsheetml/2006/main">
  <authors>
    <author>cbridi</author>
    <author>Clauber Bridi</author>
    <author>Omar</author>
  </authors>
  <commentList>
    <comment ref="C12" authorId="0" shapeId="0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4" authorId="2" shapeId="0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6" authorId="0" shapeId="0">
      <text>
        <r>
          <rPr>
            <b/>
            <sz val="8"/>
            <color indexed="81"/>
            <rFont val="Tahoma"/>
            <family val="2"/>
          </rPr>
          <t>Informe o número de dias de coleta por semana</t>
        </r>
      </text>
    </comment>
    <comment ref="C19" authorId="0" shapeId="0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20" authorId="0" shapeId="0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3" authorId="1" shapeId="0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<sst xmlns="http://schemas.openxmlformats.org/spreadsheetml/2006/main" count="665" uniqueCount="322">
  <si>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</si>
  <si>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</si>
  <si>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</si>
  <si>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</si>
  <si>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</si>
  <si>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</si>
  <si>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</si>
  <si>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</si>
  <si>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</si>
  <si>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unidade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</si>
  <si>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</si>
  <si>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</si>
  <si>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</si>
  <si>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</si>
  <si>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</si>
  <si>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</si>
  <si>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</si>
  <si>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</si>
  <si>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</si>
  <si>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</si>
  <si>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</si>
  <si>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kg/1.000 km</t>
  </si>
  <si>
    <t>Custo mensal com graxa</t>
  </si>
  <si>
    <t>km/jogo</t>
  </si>
  <si>
    <t>Pá de Concha</t>
  </si>
  <si>
    <t>Vassoura</t>
  </si>
  <si>
    <t>Calça</t>
  </si>
  <si>
    <t>Camiseta</t>
  </si>
  <si>
    <t>Boné</t>
  </si>
  <si>
    <t>Luva de proteção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</si>
  <si>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</si>
  <si>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</si>
  <si>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</si>
  <si>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</si>
  <si>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</si>
  <si>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</si>
  <si>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</si>
  <si>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</si>
  <si>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</si>
  <si>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</si>
  <si>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Planilha de Composição de Custos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</si>
  <si>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</si>
  <si>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</si>
  <si>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</si>
  <si>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</si>
  <si>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</si>
  <si>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</si>
  <si>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</si>
  <si>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</si>
  <si>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</si>
  <si>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</si>
  <si>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</si>
  <si>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</si>
  <si>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Publicidade (adesivos equipamentos)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</si>
  <si>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</si>
  <si>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</si>
  <si>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</si>
  <si>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</si>
  <si>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</si>
  <si>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</si>
  <si>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</si>
  <si>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</si>
  <si>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</si>
  <si>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</si>
  <si>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</si>
  <si>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</si>
  <si>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Custo de recapagem</t>
  </si>
  <si>
    <t>Recipiente térmico para água (5L)</t>
  </si>
  <si>
    <t>Total por 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</si>
  <si>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</si>
  <si>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</si>
  <si>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</si>
  <si>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</si>
  <si>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</si>
  <si>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</si>
  <si>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</si>
  <si>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</si>
  <si>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</si>
  <si>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</si>
  <si>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</si>
  <si>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</si>
  <si>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</si>
  <si>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</si>
  <si>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</si>
  <si>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</si>
  <si>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dia</t>
  </si>
  <si>
    <t>Custo Mensal com Mão-de-obra (R$/mês)</t>
  </si>
  <si>
    <t>Meia de algodão com cano alto</t>
  </si>
  <si>
    <t>Quantitativos</t>
  </si>
  <si>
    <t>horas trabalhadas</t>
  </si>
  <si>
    <t>1.1. Coletor Turno Dia</t>
  </si>
  <si>
    <t>1.3. Motorista Turno do Dia</t>
  </si>
  <si>
    <t>hora contabilizada</t>
  </si>
  <si>
    <t>Vida útil do chassis</t>
  </si>
  <si>
    <t>anos</t>
  </si>
  <si>
    <t>Vida útil do compactador</t>
  </si>
  <si>
    <t>Depreciação do compactador</t>
  </si>
  <si>
    <t>Depreciação do chassis</t>
  </si>
  <si>
    <t>Custo de aquisição do compactador</t>
  </si>
  <si>
    <t>Custo de aquisição do chassis</t>
  </si>
  <si>
    <t>Depreciação mensal do compactador</t>
  </si>
  <si>
    <t>i = taxa de juros do mercado (sugere-se adotar a taxa SELIC)</t>
  </si>
  <si>
    <t>n = vida útil do bem em anos</t>
  </si>
  <si>
    <t>Custo do chassis</t>
  </si>
  <si>
    <t>Custo do compactador</t>
  </si>
  <si>
    <t>3.1.2. Remuneração do Capital</t>
  </si>
  <si>
    <t>Im = investimento médio</t>
  </si>
  <si>
    <t>Remuneração mensal de capital do compactador</t>
  </si>
  <si>
    <t>Investimento médio total do chassis</t>
  </si>
  <si>
    <t>Remuneração mensal de capital do chassis</t>
  </si>
  <si>
    <t>Investimento médio total do compactador</t>
  </si>
  <si>
    <t>Custo de manutenção dos caminhões</t>
  </si>
  <si>
    <t>Quilometragem mensal</t>
  </si>
  <si>
    <t>R$/km rodado</t>
  </si>
  <si>
    <t>Número de recapagens por pneu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</si>
  <si>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</si>
  <si>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</si>
  <si>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</si>
  <si>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</si>
  <si>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</si>
  <si>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</si>
  <si>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</si>
  <si>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</si>
  <si>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</si>
  <si>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</si>
  <si>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</si>
  <si>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</si>
  <si>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Dias ano</t>
  </si>
  <si>
    <t>Estoque Médio</t>
  </si>
  <si>
    <t>Multa FGTS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</si>
  <si>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</si>
  <si>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</si>
  <si>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</si>
  <si>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</si>
  <si>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</si>
  <si>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</si>
  <si>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</si>
  <si>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</si>
  <si>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</si>
  <si>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</si>
  <si>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</si>
  <si>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</si>
  <si>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</si>
  <si>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</si>
  <si>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</si>
  <si>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</si>
  <si>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</si>
  <si>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</si>
  <si>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</si>
  <si>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</si>
  <si>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</si>
  <si>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</si>
  <si>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</si>
  <si>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</si>
  <si>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</si>
  <si>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</si>
  <si>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</si>
  <si>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</si>
  <si>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</si>
  <si>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</si>
  <si>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</si>
  <si>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</si>
  <si>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</si>
  <si>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</si>
  <si>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</si>
  <si>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</si>
  <si>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</si>
  <si>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</si>
  <si>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</si>
  <si>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</si>
  <si>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</si>
  <si>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</si>
  <si>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</si>
  <si>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</si>
  <si>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</si>
  <si>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</si>
  <si>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</si>
  <si>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</si>
  <si>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</si>
  <si>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</si>
  <si>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</si>
  <si>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</si>
  <si>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</si>
  <si>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</si>
  <si>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</si>
  <si>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</si>
  <si>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</si>
  <si>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</si>
  <si>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2.2. Uniformes e EPIs para demais categorias</t>
  </si>
  <si>
    <t>Custo Mensal com Uniformes e EPIs (R$/mês)</t>
  </si>
  <si>
    <t>Descrição do Item</t>
  </si>
  <si>
    <t>Orçamento Sintético</t>
  </si>
  <si>
    <t>Orientações para preenchimento:</t>
  </si>
  <si>
    <t>2. Preencher somente células em amarelo</t>
  </si>
  <si>
    <t>Rio Grande do Sul  - Coleta de Resíduos Não-Perigosos - CNAE 38114</t>
  </si>
  <si>
    <t>Idade do veículo (ano)</t>
  </si>
  <si>
    <t>Idade do veículo</t>
  </si>
  <si>
    <t>Idade do compactador</t>
  </si>
  <si>
    <t>Valor do veículo proposto (V0)</t>
  </si>
  <si>
    <t>Valor do compactador proposto (V0)</t>
  </si>
  <si>
    <t>Taxa de juros anual nominal</t>
  </si>
  <si>
    <t>Piso da categoria</t>
  </si>
  <si>
    <t>Base de cálculo da Insalubridade</t>
  </si>
  <si>
    <t>Descanso Semanal Remunerado (DSR) - hora extra</t>
  </si>
  <si>
    <t>C2</t>
  </si>
  <si>
    <t>B3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</si>
  <si>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</si>
  <si>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</si>
  <si>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</si>
  <si>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</si>
  <si>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</si>
  <si>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</si>
  <si>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</si>
  <si>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</si>
  <si>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</si>
  <si>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</si>
  <si>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</si>
  <si>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</si>
  <si>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</si>
  <si>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</si>
  <si>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</si>
  <si>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</si>
  <si>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</si>
  <si>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</si>
  <si>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</si>
  <si>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CUSTO MENSAL COM BDI (R$/mês)</t>
  </si>
  <si>
    <t>CÁLCULO DAS VERBAS INDENIZATÓRIAS DOS EMPREGADOS NO SETOR DE COLETA DE RSU</t>
  </si>
  <si>
    <t>1/3 de férias (dias)</t>
  </si>
  <si>
    <t>Férias (dias)</t>
  </si>
  <si>
    <t>13º Salário (dias)</t>
  </si>
  <si>
    <t>Referência estudo TCE</t>
  </si>
  <si>
    <t>1. Preencha previamente os dados de entrada na planilha 3.CAGED</t>
  </si>
  <si>
    <t>Rotatividade temporal (meses)</t>
  </si>
  <si>
    <t>1. Esta planilha é somente um modelo-base e deve ser ajustada conforme cada caso concreto.</t>
  </si>
  <si>
    <t>Fórmula de cálculo da remuneração de capital:</t>
  </si>
  <si>
    <t>Total por Motorista</t>
  </si>
  <si>
    <t>Durabilidade (meses)</t>
  </si>
  <si>
    <t>Custo com consumos/km rodado</t>
  </si>
  <si>
    <t>Consumo</t>
  </si>
  <si>
    <t>Total por veículo</t>
  </si>
  <si>
    <t>Total da frota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</si>
  <si>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</si>
  <si>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</si>
  <si>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</si>
  <si>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</si>
  <si>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</si>
  <si>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</si>
  <si>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</si>
  <si>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</si>
  <si>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</si>
  <si>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</si>
  <si>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</si>
  <si>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</si>
  <si>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</si>
  <si>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</si>
  <si>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</si>
  <si>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</si>
  <si>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</si>
  <si>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</si>
  <si>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</si>
  <si>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</si>
  <si>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</si>
  <si>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</si>
  <si>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</si>
  <si>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3. Preencher somente células em amarelo</t>
  </si>
  <si>
    <t>Depreciação Média</t>
  </si>
  <si>
    <t>2. Dimensionar separadamente setores atendidos por veículos de capacidade de carga diferentes.</t>
  </si>
  <si>
    <t>Reincidência de FGTS sobre aviso prévio indenizado</t>
  </si>
  <si>
    <t>O orçamento deve ser realizado por responsável técnico habilitado e é de responsabilidade do seu autor.</t>
  </si>
  <si>
    <t>Piso da categoria (2)</t>
  </si>
  <si>
    <t>Salário mínimo nacional (1)</t>
  </si>
  <si>
    <t>O TCE/RS não se responsabiliza pelo uso incorreto desta planilha.</t>
  </si>
  <si>
    <t>% Demitidos s/ Justa Causa em relação ao Estoque Médio</t>
  </si>
  <si>
    <t>Taxa de Rotatividade</t>
  </si>
  <si>
    <t>Acordo</t>
  </si>
  <si>
    <t>Variação Emprego Absoluta de 01-01-2019 a 31-12-2019</t>
  </si>
  <si>
    <t>Estoque recuperado início do Período 01-01-2019</t>
  </si>
  <si>
    <t>Estoque recuperado final do Período 31-12-2019</t>
  </si>
  <si>
    <t>Preencha as células em amarelo</t>
  </si>
  <si>
    <t>Tendo em vista que o CAGED foi descontinuado em janeiro de 2020, esta planilha foi atualizada até 31/12/2019.</t>
  </si>
  <si>
    <t>Ajustado, de acordo com a nova Lei Federal nº 13.932/2019</t>
  </si>
  <si>
    <t>1.4. Engenheiro Responsável - 15 h/mês</t>
  </si>
  <si>
    <t>Calça reflexiva</t>
  </si>
  <si>
    <t>Camiseta reflexiva</t>
  </si>
  <si>
    <t>Protetor solar FPS 60</t>
  </si>
  <si>
    <t>SELIC</t>
  </si>
  <si>
    <t>Frota reserva (remuneração de 10% sobre a remuneração de capital dos chassis e compactador)</t>
  </si>
  <si>
    <r>
      <t xml:space="preserve">Observações: </t>
    </r>
    <r>
      <rPr>
        <sz val="8"/>
        <rFont val="Arial"/>
        <family val="2"/>
      </rPr>
      <t>Esta panilha é somente um modelo-base.</t>
    </r>
  </si>
  <si>
    <t xml:space="preserve">Total </t>
  </si>
  <si>
    <t>3.1. Veículo Coletor Compactador 12 m³</t>
  </si>
  <si>
    <t>Custo jg. compl. + 2 recap./ km rodado</t>
  </si>
  <si>
    <t>Gratificação</t>
  </si>
  <si>
    <t>Higienização de uniformes e EPI's</t>
  </si>
  <si>
    <t>R$ mensal</t>
  </si>
  <si>
    <t>Frota reserva (remuneração de 10% sobre a depreciação de capital dos chassis e compactador)</t>
  </si>
  <si>
    <t>Custo de graxa(a base de sabão de lítio) /1.000 km rodados</t>
  </si>
  <si>
    <t>Custo do jogo de pneus  275/80 R22,5</t>
  </si>
  <si>
    <t>7. Benefícios e Despesas Indiretas - BDI</t>
  </si>
  <si>
    <t>Fontes consultadas: 
Orientação técnica para os serviços de coleta de resíduos sólidos domiciliares (Projeto, Contratação e Fiscalização) 2ª Edição 2019 – Tribunal de Contas do Estado do Rio Grande do Sul – TCE; Planilha de Composição de Custos para serviços de coleta de resíduos sólidos domiciliares - Tribunal de Contas do Estado do Rio Grande do Sul – TCE; Planilha para dimensionamento de frota - FUNASA; Convenção Coletiva de Trabalho 2021/2021 – Sindicato das Empresas de Asseio e Conservação do Estado do Rio Grande do Sul e Sindicato dos Trabalhadores das Empresas de Asseio, Conservação, Zeladoria, Reciclagem de Lixo, Limpeza Urbana, Ambiental e de Áreas Verdes e empresas de Serviços Terceirizados; Plano Nacional de Resíduos Sólidos – Ministério do Meio Ambiente – Secretaria de Qualidade Ambiental-2020; Convenção Coletiva 2020-2021 - Passo Fundo/RS - Sindicato das Empresas de Transportes de Carga e Logística no Estado do Rio Grande do Sul - SETCERGS; Acordo Coletivo de Trabalho 2020-2021 – Processo n° 2020.000005969-4 Sindicatos do Engenheiros do Rio Grande do Sul – CREA/RS; IBGE; Banco Central do Brasil; CAGED; CEEE; Tabela FIPE; NR-6 Equipamentos de Proteção Individual; Google Mapas; Atas de Registros Municipais referentes ao ano de 2021; Pedidos municipais referentes ao ano de 2021; Relatórios de pesagens de resíduos destinados aos Aterros Sanitários referente ao período de 2020 e 2021; e Orçamentos em mercado local, sites e empresas especializadas nas diversas áreas que compõem os serviços a serem contratados.</t>
  </si>
  <si>
    <t>1. Coleta dos Resíduos Sólidos Domiciliares Orgânicos (Zona Urbana e Distritos) e Transporte para Disposição Final em Aterro Sanitário</t>
  </si>
  <si>
    <t>3.2. Veículo roll on roll off</t>
  </si>
  <si>
    <t>3.2.1. Depreciação</t>
  </si>
  <si>
    <t>Depreciação mensal das caixas container</t>
  </si>
  <si>
    <t>Custo de aquisição das caixas container</t>
  </si>
  <si>
    <t>Vida útil das caixas container</t>
  </si>
  <si>
    <t>Idade das caixas ontainer</t>
  </si>
  <si>
    <t>Depreciação das caixas container</t>
  </si>
  <si>
    <t>3.2.3. Impostos e Seguros</t>
  </si>
  <si>
    <t>3.2.4. Consumos</t>
  </si>
  <si>
    <t>3.2.5. Manutenção</t>
  </si>
  <si>
    <t>3.2.6. Pneus</t>
  </si>
  <si>
    <t>custo mensal com o veículo descrito</t>
  </si>
  <si>
    <t>Custo Mensal com o Veículo coletor e Equipamentos (R$/mês)</t>
  </si>
  <si>
    <t>toneladas/mês</t>
  </si>
  <si>
    <t>destino final de rejeitos em aterro Sanitário licenciado</t>
  </si>
  <si>
    <t>CUSTO TOTAL MENSAL COM DESTNO FINAL EM ATERRO SANITÁRIO</t>
  </si>
  <si>
    <t>PREÇO TOTAL MENSAL COM A COLETA E DESTINO FINAL</t>
  </si>
  <si>
    <t>1.2. Triador / catador de recicláveis na central de triagem</t>
  </si>
  <si>
    <t>6. Aterro sanitário</t>
  </si>
  <si>
    <t>6. Destino final de rejeitos em aterro sanitário</t>
  </si>
  <si>
    <t>3.2 . Veículo roll on /off - transporte rejeitos aterro</t>
  </si>
  <si>
    <t>MUNICÍPIO DE QUINZE DE 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</si>
</sst>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-;\-* #,##0.00_-;_-* &quot;-&quot;??_-;_-@_-"/>
    <numFmt numFmtId="165" formatCode="&quot;R$ &quot;#,##0.00_);\(&quot;R$ &quot;#,##0.00\)"/>
    <numFmt numFmtId="166" formatCode="_(* #,##0.00_);_(* \(#,##0.00\);_(* &quot;-&quot;??_);_(@_)"/>
    <numFmt numFmtId="167" formatCode="_(* #,##0_);_(* \(#,##0\);_(* &quot;-&quot;??_);_(@_)"/>
    <numFmt numFmtId="168" formatCode="_(* #,##0.000_);_(* \(#,##0.000\);_(* &quot;-&quot;??_);_(@_)"/>
    <numFmt numFmtId="169" formatCode="&quot;R$ &quot;#,##0.00"/>
    <numFmt numFmtId="170" formatCode="0.0000"/>
    <numFmt numFmtId="171" formatCode="_-* #,##0.000_-;\-* #,##0.000_-;_-* &quot;-&quot;??_-;_-@_-"/>
    <numFmt numFmtId="172" formatCode="_-* #,##0.00_-;\-* #,##0.00_-;_-* &quot;-&quot;?_-;_-@_-"/>
    <numFmt numFmtId="173" formatCode="_-* #,##0_-;\-* #,##0_-;_-* &quot;-&quot;?_-;_-@_-"/>
  </numFmts>
  <fonts count="3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56">
    <xf numFmtId="0" fontId="0" fillId="0" borderId="0" xfId="0"/>
    <xf numFmtId="0" fontId="6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6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6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6" fontId="6" fillId="0" borderId="2" xfId="3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6" fontId="6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6" fillId="0" borderId="0" xfId="3" applyFont="1" applyAlignment="1">
      <alignment horizontal="center" vertical="center"/>
    </xf>
    <xf numFmtId="166" fontId="3" fillId="2" borderId="4" xfId="3" applyFont="1" applyFill="1" applyBorder="1" applyAlignment="1">
      <alignment horizontal="center" vertical="center"/>
    </xf>
    <xf numFmtId="166" fontId="3" fillId="2" borderId="4" xfId="3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6" fontId="3" fillId="0" borderId="6" xfId="3" applyFont="1" applyBorder="1" applyAlignment="1">
      <alignment vertical="center"/>
    </xf>
    <xf numFmtId="166" fontId="3" fillId="0" borderId="7" xfId="3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6" fontId="6" fillId="0" borderId="6" xfId="3" applyFont="1" applyBorder="1" applyAlignment="1">
      <alignment vertical="center"/>
    </xf>
    <xf numFmtId="166" fontId="6" fillId="0" borderId="7" xfId="3" applyFont="1" applyBorder="1" applyAlignment="1">
      <alignment vertical="center"/>
    </xf>
    <xf numFmtId="166" fontId="3" fillId="0" borderId="0" xfId="3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6" fontId="3" fillId="0" borderId="0" xfId="3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6" fontId="3" fillId="0" borderId="0" xfId="3" applyFont="1" applyBorder="1" applyAlignment="1">
      <alignment vertical="center"/>
    </xf>
    <xf numFmtId="166" fontId="5" fillId="0" borderId="0" xfId="3" applyFont="1" applyAlignment="1">
      <alignment vertical="center"/>
    </xf>
    <xf numFmtId="166" fontId="0" fillId="0" borderId="9" xfId="3" applyFont="1" applyBorder="1" applyAlignment="1">
      <alignment vertical="center"/>
    </xf>
    <xf numFmtId="166" fontId="3" fillId="0" borderId="10" xfId="3" applyFont="1" applyBorder="1" applyAlignment="1">
      <alignment horizontal="center" vertical="center"/>
    </xf>
    <xf numFmtId="166" fontId="3" fillId="0" borderId="5" xfId="3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centerContinuous" vertical="center"/>
    </xf>
    <xf numFmtId="166" fontId="3" fillId="0" borderId="0" xfId="3" applyFont="1" applyAlignment="1">
      <alignment vertical="center"/>
    </xf>
    <xf numFmtId="166" fontId="0" fillId="0" borderId="8" xfId="0" applyNumberFormat="1" applyBorder="1" applyAlignment="1">
      <alignment vertical="center"/>
    </xf>
    <xf numFmtId="4" fontId="0" fillId="0" borderId="8" xfId="0" applyNumberFormat="1" applyBorder="1" applyAlignment="1">
      <alignment horizontal="centerContinuous" vertical="center"/>
    </xf>
    <xf numFmtId="166" fontId="0" fillId="0" borderId="8" xfId="3" applyFont="1" applyBorder="1" applyAlignment="1">
      <alignment vertical="center"/>
    </xf>
    <xf numFmtId="166" fontId="3" fillId="0" borderId="11" xfId="3" applyFont="1" applyBorder="1" applyAlignment="1">
      <alignment horizontal="right" vertical="center"/>
    </xf>
    <xf numFmtId="166" fontId="0" fillId="0" borderId="12" xfId="3" applyFont="1" applyBorder="1" applyAlignment="1">
      <alignment vertical="center"/>
    </xf>
    <xf numFmtId="166" fontId="6" fillId="0" borderId="1" xfId="3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6" fontId="6" fillId="0" borderId="0" xfId="3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6" fontId="4" fillId="0" borderId="0" xfId="3" applyFont="1" applyBorder="1" applyAlignment="1">
      <alignment vertical="center"/>
    </xf>
    <xf numFmtId="10" fontId="0" fillId="0" borderId="13" xfId="2" applyNumberFormat="1" applyFont="1" applyBorder="1" applyAlignment="1">
      <alignment vertical="center"/>
    </xf>
    <xf numFmtId="166" fontId="6" fillId="0" borderId="0" xfId="3" applyFont="1" applyBorder="1" applyAlignment="1">
      <alignment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166" fontId="13" fillId="2" borderId="15" xfId="3" applyFont="1" applyFill="1" applyBorder="1" applyAlignment="1">
      <alignment horizontal="center" vertical="center"/>
    </xf>
    <xf numFmtId="166" fontId="13" fillId="2" borderId="16" xfId="3" applyFont="1" applyFill="1" applyBorder="1" applyAlignment="1">
      <alignment horizontal="center" vertical="center"/>
    </xf>
    <xf numFmtId="166" fontId="3" fillId="0" borderId="17" xfId="3" applyFont="1" applyBorder="1" applyAlignment="1">
      <alignment horizontal="center" vertical="center"/>
    </xf>
    <xf numFmtId="166" fontId="1" fillId="0" borderId="12" xfId="3" applyFont="1" applyBorder="1" applyAlignment="1">
      <alignment horizontal="left" vertical="center"/>
    </xf>
    <xf numFmtId="166" fontId="6" fillId="0" borderId="8" xfId="3" applyFont="1" applyBorder="1" applyAlignment="1">
      <alignment vertical="center"/>
    </xf>
    <xf numFmtId="167" fontId="6" fillId="0" borderId="0" xfId="3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8" xfId="3" applyNumberFormat="1" applyFont="1" applyBorder="1" applyAlignment="1">
      <alignment horizontal="center" vertical="center"/>
    </xf>
    <xf numFmtId="166" fontId="3" fillId="0" borderId="26" xfId="3" applyFont="1" applyBorder="1" applyAlignment="1">
      <alignment vertical="center"/>
    </xf>
    <xf numFmtId="4" fontId="3" fillId="0" borderId="27" xfId="0" applyNumberFormat="1" applyFont="1" applyBorder="1" applyAlignment="1">
      <alignment vertical="center"/>
    </xf>
    <xf numFmtId="166" fontId="6" fillId="0" borderId="9" xfId="3" applyFont="1" applyBorder="1" applyAlignment="1">
      <alignment vertical="center"/>
    </xf>
    <xf numFmtId="0" fontId="0" fillId="0" borderId="9" xfId="0" applyBorder="1" applyAlignment="1">
      <alignment vertical="center"/>
    </xf>
    <xf numFmtId="1" fontId="6" fillId="0" borderId="10" xfId="3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7" xfId="0" applyBorder="1" applyAlignment="1">
      <alignment vertical="center"/>
    </xf>
    <xf numFmtId="1" fontId="3" fillId="0" borderId="29" xfId="3" applyNumberFormat="1" applyFont="1" applyBorder="1" applyAlignment="1">
      <alignment horizontal="center" vertical="center"/>
    </xf>
    <xf numFmtId="166" fontId="12" fillId="0" borderId="1" xfId="3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6" fontId="3" fillId="2" borderId="4" xfId="3" applyNumberFormat="1" applyFont="1" applyFill="1" applyBorder="1" applyAlignment="1">
      <alignment horizontal="center" vertical="center"/>
    </xf>
    <xf numFmtId="166" fontId="6" fillId="0" borderId="1" xfId="3" applyFont="1" applyFill="1" applyBorder="1" applyAlignment="1">
      <alignment horizontal="center" vertical="center"/>
    </xf>
    <xf numFmtId="166" fontId="11" fillId="0" borderId="0" xfId="3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3" borderId="2" xfId="3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66" fontId="6" fillId="3" borderId="1" xfId="3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168" fontId="6" fillId="3" borderId="2" xfId="3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3" fontId="6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6" fontId="3" fillId="0" borderId="1" xfId="3" applyFont="1" applyBorder="1" applyAlignment="1">
      <alignment horizontal="center" vertical="center"/>
    </xf>
    <xf numFmtId="166" fontId="6" fillId="0" borderId="2" xfId="3" applyFont="1" applyFill="1" applyBorder="1" applyAlignment="1">
      <alignment horizontal="center" vertical="center"/>
    </xf>
    <xf numFmtId="0" fontId="8" fillId="0" borderId="0" xfId="1" applyAlignment="1" applyProtection="1">
      <alignment vertical="center"/>
    </xf>
    <xf numFmtId="0" fontId="3" fillId="0" borderId="0" xfId="0" applyFont="1"/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166" fontId="13" fillId="2" borderId="31" xfId="3" applyFont="1" applyFill="1" applyBorder="1" applyAlignment="1">
      <alignment horizontal="center" vertical="center"/>
    </xf>
    <xf numFmtId="166" fontId="6" fillId="0" borderId="0" xfId="3" applyFont="1" applyFill="1" applyAlignment="1">
      <alignment vertical="center"/>
    </xf>
    <xf numFmtId="166" fontId="3" fillId="0" borderId="1" xfId="3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vertical="center"/>
    </xf>
    <xf numFmtId="165" fontId="3" fillId="0" borderId="32" xfId="0" applyNumberFormat="1" applyFont="1" applyBorder="1" applyAlignment="1">
      <alignment vertical="center"/>
    </xf>
    <xf numFmtId="166" fontId="3" fillId="0" borderId="33" xfId="3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6" fontId="3" fillId="0" borderId="0" xfId="3" applyFont="1" applyAlignment="1">
      <alignment horizontal="center" vertical="center"/>
    </xf>
    <xf numFmtId="166" fontId="3" fillId="0" borderId="3" xfId="3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6" fontId="6" fillId="0" borderId="0" xfId="3" applyFont="1" applyAlignment="1">
      <alignment horizontal="right" vertical="center"/>
    </xf>
    <xf numFmtId="166" fontId="3" fillId="2" borderId="7" xfId="3" applyFont="1" applyFill="1" applyBorder="1" applyAlignment="1">
      <alignment horizontal="center" vertical="center"/>
    </xf>
    <xf numFmtId="166" fontId="3" fillId="0" borderId="12" xfId="3" applyFont="1" applyBorder="1" applyAlignment="1">
      <alignment vertical="center"/>
    </xf>
    <xf numFmtId="166" fontId="3" fillId="0" borderId="8" xfId="0" applyNumberFormat="1" applyFont="1" applyBorder="1" applyAlignment="1">
      <alignment vertical="center"/>
    </xf>
    <xf numFmtId="166" fontId="3" fillId="0" borderId="8" xfId="3" applyFont="1" applyBorder="1" applyAlignment="1">
      <alignment vertical="center"/>
    </xf>
    <xf numFmtId="10" fontId="3" fillId="0" borderId="13" xfId="2" applyNumberFormat="1" applyFont="1" applyBorder="1" applyAlignment="1">
      <alignment vertical="center"/>
    </xf>
    <xf numFmtId="166" fontId="3" fillId="0" borderId="36" xfId="3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66" fontId="6" fillId="0" borderId="37" xfId="3" applyFont="1" applyBorder="1" applyAlignment="1">
      <alignment vertical="center"/>
    </xf>
    <xf numFmtId="166" fontId="6" fillId="0" borderId="38" xfId="3" applyFont="1" applyBorder="1" applyAlignment="1">
      <alignment vertical="center"/>
    </xf>
    <xf numFmtId="166" fontId="6" fillId="0" borderId="39" xfId="3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1" fontId="6" fillId="0" borderId="35" xfId="3" applyNumberFormat="1" applyFont="1" applyBorder="1" applyAlignment="1">
      <alignment horizontal="center" vertical="center"/>
    </xf>
    <xf numFmtId="166" fontId="3" fillId="0" borderId="12" xfId="3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166" fontId="6" fillId="5" borderId="1" xfId="3" applyFont="1" applyFill="1" applyBorder="1" applyAlignment="1">
      <alignment horizontal="center" vertical="center"/>
    </xf>
    <xf numFmtId="166" fontId="6" fillId="5" borderId="1" xfId="3" applyFont="1" applyFill="1" applyBorder="1" applyAlignment="1">
      <alignment vertical="center"/>
    </xf>
    <xf numFmtId="9" fontId="3" fillId="0" borderId="16" xfId="2" applyFont="1" applyBorder="1" applyAlignment="1">
      <alignment vertical="center"/>
    </xf>
    <xf numFmtId="10" fontId="6" fillId="0" borderId="13" xfId="2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6" fontId="6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0" fillId="0" borderId="36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166" fontId="0" fillId="0" borderId="0" xfId="3" applyFont="1" applyFill="1" applyBorder="1" applyAlignment="1">
      <alignment vertical="center"/>
    </xf>
    <xf numFmtId="166" fontId="0" fillId="0" borderId="37" xfId="3" applyFont="1" applyFill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167" fontId="3" fillId="0" borderId="0" xfId="3" applyNumberFormat="1" applyFont="1" applyBorder="1" applyAlignment="1">
      <alignment horizontal="center" vertical="center"/>
    </xf>
    <xf numFmtId="0" fontId="18" fillId="0" borderId="12" xfId="0" applyFont="1" applyBorder="1"/>
    <xf numFmtId="0" fontId="6" fillId="0" borderId="0" xfId="0" applyFont="1" applyBorder="1"/>
    <xf numFmtId="0" fontId="18" fillId="0" borderId="45" xfId="0" applyFont="1" applyBorder="1"/>
    <xf numFmtId="0" fontId="18" fillId="3" borderId="18" xfId="0" applyFont="1" applyFill="1" applyBorder="1"/>
    <xf numFmtId="0" fontId="18" fillId="0" borderId="21" xfId="0" applyFont="1" applyBorder="1"/>
    <xf numFmtId="0" fontId="18" fillId="0" borderId="46" xfId="0" applyFont="1" applyBorder="1"/>
    <xf numFmtId="0" fontId="18" fillId="0" borderId="18" xfId="0" applyFont="1" applyBorder="1"/>
    <xf numFmtId="0" fontId="18" fillId="0" borderId="26" xfId="0" applyFont="1" applyBorder="1"/>
    <xf numFmtId="2" fontId="19" fillId="6" borderId="1" xfId="0" applyNumberFormat="1" applyFont="1" applyFill="1" applyBorder="1" applyAlignment="1">
      <alignment horizontal="right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2" fontId="19" fillId="6" borderId="34" xfId="0" applyNumberFormat="1" applyFont="1" applyFill="1" applyBorder="1" applyAlignment="1">
      <alignment horizontal="right" vertical="center"/>
    </xf>
    <xf numFmtId="0" fontId="19" fillId="0" borderId="2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0" fontId="19" fillId="0" borderId="18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10" fontId="23" fillId="0" borderId="18" xfId="0" applyNumberFormat="1" applyFont="1" applyBorder="1" applyAlignment="1">
      <alignment horizontal="right" vertical="center"/>
    </xf>
    <xf numFmtId="0" fontId="19" fillId="4" borderId="21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left" vertical="center"/>
    </xf>
    <xf numFmtId="10" fontId="23" fillId="4" borderId="18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9" fontId="19" fillId="0" borderId="0" xfId="2" applyFont="1" applyBorder="1" applyAlignment="1">
      <alignment horizontal="right" vertical="center"/>
    </xf>
    <xf numFmtId="10" fontId="6" fillId="0" borderId="0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0" fontId="19" fillId="8" borderId="22" xfId="0" applyFont="1" applyFill="1" applyBorder="1" applyAlignment="1">
      <alignment horizontal="left" vertical="center"/>
    </xf>
    <xf numFmtId="0" fontId="23" fillId="8" borderId="34" xfId="0" applyFont="1" applyFill="1" applyBorder="1" applyAlignment="1">
      <alignment horizontal="left" vertical="center"/>
    </xf>
    <xf numFmtId="10" fontId="23" fillId="8" borderId="35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10" fontId="23" fillId="0" borderId="0" xfId="0" applyNumberFormat="1" applyFont="1" applyFill="1" applyBorder="1" applyAlignment="1">
      <alignment horizontal="right" vertical="center"/>
    </xf>
    <xf numFmtId="10" fontId="19" fillId="0" borderId="0" xfId="0" applyNumberFormat="1" applyFont="1" applyFill="1" applyBorder="1" applyAlignment="1">
      <alignment horizontal="right" vertical="center"/>
    </xf>
    <xf numFmtId="10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10" fontId="23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justify" vertical="center"/>
    </xf>
    <xf numFmtId="0" fontId="8" fillId="0" borderId="0" xfId="1" applyFont="1" applyBorder="1" applyAlignment="1" applyProtection="1">
      <alignment horizontal="left" vertical="center"/>
    </xf>
    <xf numFmtId="0" fontId="27" fillId="0" borderId="0" xfId="0" applyFont="1" applyBorder="1"/>
    <xf numFmtId="0" fontId="19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vertical="center"/>
    </xf>
    <xf numFmtId="0" fontId="5" fillId="0" borderId="13" xfId="0" applyFont="1" applyBorder="1"/>
    <xf numFmtId="0" fontId="5" fillId="0" borderId="21" xfId="0" applyFont="1" applyBorder="1"/>
    <xf numFmtId="0" fontId="5" fillId="3" borderId="18" xfId="0" applyFont="1" applyFill="1" applyBorder="1"/>
    <xf numFmtId="0" fontId="5" fillId="0" borderId="45" xfId="0" applyFont="1" applyBorder="1"/>
    <xf numFmtId="0" fontId="5" fillId="3" borderId="46" xfId="0" applyFont="1" applyFill="1" applyBorder="1"/>
    <xf numFmtId="0" fontId="5" fillId="0" borderId="47" xfId="0" applyFont="1" applyBorder="1"/>
    <xf numFmtId="0" fontId="5" fillId="3" borderId="48" xfId="0" applyFont="1" applyFill="1" applyBorder="1"/>
    <xf numFmtId="0" fontId="5" fillId="0" borderId="36" xfId="0" applyFont="1" applyBorder="1"/>
    <xf numFmtId="0" fontId="5" fillId="0" borderId="37" xfId="0" applyFont="1" applyBorder="1"/>
    <xf numFmtId="0" fontId="7" fillId="0" borderId="46" xfId="0" applyFont="1" applyBorder="1"/>
    <xf numFmtId="0" fontId="7" fillId="0" borderId="36" xfId="0" applyFont="1" applyFill="1" applyBorder="1" applyAlignment="1">
      <alignment horizontal="left" vertical="center"/>
    </xf>
    <xf numFmtId="0" fontId="5" fillId="0" borderId="0" xfId="0" applyFont="1" applyBorder="1"/>
    <xf numFmtId="9" fontId="5" fillId="0" borderId="21" xfId="2" applyFont="1" applyBorder="1"/>
    <xf numFmtId="9" fontId="5" fillId="0" borderId="1" xfId="2" applyFont="1" applyBorder="1" applyAlignment="1">
      <alignment horizontal="center"/>
    </xf>
    <xf numFmtId="9" fontId="5" fillId="0" borderId="18" xfId="2" applyFont="1" applyBorder="1"/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10" fontId="5" fillId="3" borderId="10" xfId="0" applyNumberFormat="1" applyFont="1" applyFill="1" applyBorder="1" applyAlignment="1">
      <alignment horizontal="center" vertical="center"/>
    </xf>
    <xf numFmtId="10" fontId="5" fillId="0" borderId="18" xfId="2" applyNumberFormat="1" applyFont="1" applyBorder="1"/>
    <xf numFmtId="0" fontId="5" fillId="0" borderId="2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0" fontId="5" fillId="3" borderId="18" xfId="0" applyNumberFormat="1" applyFont="1" applyFill="1" applyBorder="1" applyAlignment="1">
      <alignment horizontal="center" vertical="center"/>
    </xf>
    <xf numFmtId="10" fontId="5" fillId="0" borderId="18" xfId="0" applyNumberFormat="1" applyFont="1" applyFill="1" applyBorder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8" xfId="0" applyFont="1" applyBorder="1"/>
    <xf numFmtId="0" fontId="5" fillId="0" borderId="22" xfId="0" applyFont="1" applyFill="1" applyBorder="1" applyAlignment="1">
      <alignment horizontal="left" vertical="center"/>
    </xf>
    <xf numFmtId="10" fontId="5" fillId="3" borderId="3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10" fontId="5" fillId="0" borderId="25" xfId="0" applyNumberFormat="1" applyFont="1" applyFill="1" applyBorder="1" applyAlignment="1">
      <alignment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/>
    </xf>
    <xf numFmtId="10" fontId="7" fillId="4" borderId="7" xfId="0" applyNumberFormat="1" applyFont="1" applyFill="1" applyBorder="1" applyAlignment="1">
      <alignment horizontal="center" vertical="center" wrapText="1"/>
    </xf>
    <xf numFmtId="10" fontId="5" fillId="0" borderId="21" xfId="2" applyNumberFormat="1" applyFont="1" applyBorder="1" applyAlignment="1">
      <alignment horizontal="right"/>
    </xf>
    <xf numFmtId="10" fontId="5" fillId="0" borderId="1" xfId="2" applyNumberFormat="1" applyFont="1" applyBorder="1" applyAlignment="1">
      <alignment horizontal="right"/>
    </xf>
    <xf numFmtId="10" fontId="5" fillId="0" borderId="18" xfId="2" applyNumberFormat="1" applyFont="1" applyBorder="1" applyAlignment="1">
      <alignment horizontal="right"/>
    </xf>
    <xf numFmtId="10" fontId="5" fillId="0" borderId="22" xfId="2" applyNumberFormat="1" applyFont="1" applyBorder="1" applyAlignment="1">
      <alignment horizontal="right"/>
    </xf>
    <xf numFmtId="10" fontId="5" fillId="0" borderId="34" xfId="2" applyNumberFormat="1" applyFont="1" applyBorder="1" applyAlignment="1">
      <alignment horizontal="right"/>
    </xf>
    <xf numFmtId="10" fontId="5" fillId="0" borderId="35" xfId="2" applyNumberFormat="1" applyFont="1" applyBorder="1" applyAlignment="1">
      <alignment horizontal="right"/>
    </xf>
    <xf numFmtId="0" fontId="6" fillId="0" borderId="50" xfId="0" applyFont="1" applyBorder="1"/>
    <xf numFmtId="0" fontId="20" fillId="0" borderId="50" xfId="0" applyFont="1" applyBorder="1" applyAlignment="1">
      <alignment horizontal="justify"/>
    </xf>
    <xf numFmtId="0" fontId="20" fillId="0" borderId="51" xfId="0" applyFont="1" applyBorder="1" applyAlignment="1">
      <alignment horizontal="justify"/>
    </xf>
    <xf numFmtId="0" fontId="17" fillId="9" borderId="49" xfId="0" applyFont="1" applyFill="1" applyBorder="1" applyAlignment="1">
      <alignment horizontal="center"/>
    </xf>
    <xf numFmtId="1" fontId="6" fillId="0" borderId="0" xfId="3" applyNumberFormat="1" applyFont="1" applyBorder="1" applyAlignment="1">
      <alignment horizontal="center" vertical="center"/>
    </xf>
    <xf numFmtId="169" fontId="3" fillId="0" borderId="1" xfId="0" applyNumberFormat="1" applyFon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3" fillId="0" borderId="34" xfId="0" applyNumberFormat="1" applyFont="1" applyBorder="1" applyAlignment="1">
      <alignment vertical="center"/>
    </xf>
    <xf numFmtId="166" fontId="3" fillId="0" borderId="9" xfId="3" applyFont="1" applyBorder="1" applyAlignment="1">
      <alignment vertical="center"/>
    </xf>
    <xf numFmtId="166" fontId="3" fillId="0" borderId="5" xfId="3" applyFont="1" applyBorder="1" applyAlignment="1">
      <alignment vertical="center"/>
    </xf>
    <xf numFmtId="9" fontId="3" fillId="3" borderId="7" xfId="2" applyFont="1" applyFill="1" applyBorder="1" applyAlignment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6" fontId="3" fillId="0" borderId="8" xfId="3" applyFont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168" fontId="6" fillId="0" borderId="1" xfId="3" applyNumberFormat="1" applyFont="1" applyBorder="1" applyAlignment="1">
      <alignment horizontal="center" vertical="center"/>
    </xf>
    <xf numFmtId="167" fontId="3" fillId="0" borderId="1" xfId="3" applyNumberFormat="1" applyFont="1" applyBorder="1" applyAlignment="1">
      <alignment horizontal="center" vertical="center"/>
    </xf>
    <xf numFmtId="168" fontId="3" fillId="0" borderId="1" xfId="3" applyNumberFormat="1" applyFont="1" applyBorder="1" applyAlignment="1">
      <alignment horizontal="center" vertical="center"/>
    </xf>
    <xf numFmtId="168" fontId="6" fillId="0" borderId="2" xfId="3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/>
    <xf numFmtId="0" fontId="3" fillId="0" borderId="52" xfId="0" applyFont="1" applyBorder="1" applyAlignment="1">
      <alignment vertical="center"/>
    </xf>
    <xf numFmtId="0" fontId="3" fillId="0" borderId="52" xfId="0" applyFont="1" applyBorder="1" applyAlignment="1">
      <alignment horizontal="center" vertical="center"/>
    </xf>
    <xf numFmtId="166" fontId="3" fillId="0" borderId="52" xfId="3" applyFont="1" applyBorder="1" applyAlignment="1">
      <alignment horizontal="center" vertical="center"/>
    </xf>
    <xf numFmtId="166" fontId="3" fillId="0" borderId="52" xfId="3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Fill="1"/>
    <xf numFmtId="0" fontId="7" fillId="0" borderId="21" xfId="0" applyFont="1" applyBorder="1"/>
    <xf numFmtId="0" fontId="7" fillId="0" borderId="1" xfId="0" applyFont="1" applyBorder="1"/>
    <xf numFmtId="0" fontId="7" fillId="0" borderId="18" xfId="0" applyFont="1" applyBorder="1"/>
    <xf numFmtId="0" fontId="5" fillId="0" borderId="21" xfId="0" applyFont="1" applyFill="1" applyBorder="1"/>
    <xf numFmtId="0" fontId="5" fillId="0" borderId="1" xfId="0" applyFont="1" applyFill="1" applyBorder="1"/>
    <xf numFmtId="0" fontId="5" fillId="0" borderId="1" xfId="0" applyFont="1" applyBorder="1"/>
    <xf numFmtId="171" fontId="24" fillId="0" borderId="18" xfId="3" applyNumberFormat="1" applyFont="1" applyBorder="1" applyAlignment="1">
      <alignment horizontal="center" vertical="center" wrapText="1"/>
    </xf>
    <xf numFmtId="172" fontId="5" fillId="0" borderId="18" xfId="0" applyNumberFormat="1" applyFont="1" applyBorder="1"/>
    <xf numFmtId="2" fontId="5" fillId="0" borderId="18" xfId="0" applyNumberFormat="1" applyFont="1" applyBorder="1"/>
    <xf numFmtId="0" fontId="5" fillId="0" borderId="22" xfId="0" applyFont="1" applyFill="1" applyBorder="1"/>
    <xf numFmtId="0" fontId="5" fillId="0" borderId="34" xfId="0" applyFont="1" applyBorder="1"/>
    <xf numFmtId="172" fontId="5" fillId="3" borderId="18" xfId="0" applyNumberFormat="1" applyFont="1" applyFill="1" applyBorder="1"/>
    <xf numFmtId="172" fontId="5" fillId="0" borderId="35" xfId="0" applyNumberFormat="1" applyFont="1" applyBorder="1"/>
    <xf numFmtId="0" fontId="17" fillId="0" borderId="1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/>
    </xf>
    <xf numFmtId="173" fontId="5" fillId="3" borderId="18" xfId="0" applyNumberFormat="1" applyFont="1" applyFill="1" applyBorder="1"/>
    <xf numFmtId="0" fontId="5" fillId="0" borderId="21" xfId="0" applyFont="1" applyBorder="1" applyAlignment="1">
      <alignment horizontal="right"/>
    </xf>
    <xf numFmtId="4" fontId="31" fillId="0" borderId="0" xfId="0" applyNumberFormat="1" applyFont="1" applyBorder="1" applyAlignment="1">
      <alignment vertical="center"/>
    </xf>
    <xf numFmtId="0" fontId="5" fillId="0" borderId="18" xfId="0" applyFont="1" applyFill="1" applyBorder="1"/>
    <xf numFmtId="0" fontId="30" fillId="0" borderId="0" xfId="0" applyFont="1"/>
    <xf numFmtId="0" fontId="1" fillId="0" borderId="2" xfId="0" applyFont="1" applyBorder="1" applyAlignment="1">
      <alignment vertical="center"/>
    </xf>
    <xf numFmtId="170" fontId="7" fillId="0" borderId="18" xfId="0" applyNumberFormat="1" applyFont="1" applyBorder="1"/>
    <xf numFmtId="9" fontId="18" fillId="0" borderId="18" xfId="2" applyFont="1" applyBorder="1"/>
    <xf numFmtId="10" fontId="18" fillId="0" borderId="18" xfId="2" applyNumberFormat="1" applyFont="1" applyBorder="1"/>
    <xf numFmtId="9" fontId="7" fillId="0" borderId="29" xfId="2" applyFont="1" applyBorder="1"/>
    <xf numFmtId="0" fontId="5" fillId="0" borderId="53" xfId="0" applyFont="1" applyBorder="1"/>
    <xf numFmtId="166" fontId="32" fillId="0" borderId="0" xfId="3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6" fontId="30" fillId="0" borderId="0" xfId="3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166" fontId="2" fillId="0" borderId="0" xfId="3" applyFont="1" applyAlignment="1">
      <alignment vertical="center"/>
    </xf>
    <xf numFmtId="166" fontId="1" fillId="0" borderId="17" xfId="3" applyFont="1" applyBorder="1" applyAlignment="1">
      <alignment vertical="center"/>
    </xf>
    <xf numFmtId="166" fontId="1" fillId="0" borderId="12" xfId="3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66" fontId="1" fillId="0" borderId="1" xfId="3" applyFont="1" applyBorder="1" applyAlignment="1">
      <alignment horizontal="center" vertical="center"/>
    </xf>
    <xf numFmtId="166" fontId="3" fillId="2" borderId="0" xfId="3" applyFont="1" applyFill="1" applyBorder="1" applyAlignment="1">
      <alignment horizontal="center" vertical="center"/>
    </xf>
    <xf numFmtId="166" fontId="6" fillId="0" borderId="0" xfId="3" applyFont="1" applyFill="1" applyAlignment="1">
      <alignment horizontal="right" vertical="center"/>
    </xf>
    <xf numFmtId="166" fontId="6" fillId="0" borderId="1" xfId="3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166" fontId="13" fillId="7" borderId="15" xfId="3" applyFont="1" applyFill="1" applyBorder="1" applyAlignment="1">
      <alignment horizontal="center" vertical="center"/>
    </xf>
    <xf numFmtId="166" fontId="13" fillId="7" borderId="16" xfId="3" applyFont="1" applyFill="1" applyBorder="1" applyAlignment="1">
      <alignment horizontal="center" vertical="center"/>
    </xf>
    <xf numFmtId="166" fontId="3" fillId="7" borderId="4" xfId="3" applyNumberFormat="1" applyFont="1" applyFill="1" applyBorder="1" applyAlignment="1">
      <alignment horizontal="center" vertical="center"/>
    </xf>
    <xf numFmtId="169" fontId="3" fillId="0" borderId="3" xfId="0" applyNumberFormat="1" applyFont="1" applyBorder="1" applyAlignment="1">
      <alignment vertical="center"/>
    </xf>
    <xf numFmtId="10" fontId="1" fillId="0" borderId="13" xfId="2" applyNumberFormat="1" applyFont="1" applyBorder="1" applyAlignment="1">
      <alignment vertical="center"/>
    </xf>
    <xf numFmtId="166" fontId="3" fillId="0" borderId="12" xfId="3" applyFont="1" applyBorder="1" applyAlignment="1">
      <alignment horizontal="left" vertical="center"/>
    </xf>
    <xf numFmtId="166" fontId="3" fillId="2" borderId="0" xfId="3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66" fontId="6" fillId="0" borderId="0" xfId="3" applyFont="1" applyFill="1" applyBorder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4" fontId="33" fillId="0" borderId="27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6" fontId="3" fillId="0" borderId="12" xfId="3" applyFont="1" applyBorder="1" applyAlignment="1">
      <alignment horizontal="left" vertical="center"/>
    </xf>
    <xf numFmtId="166" fontId="3" fillId="0" borderId="8" xfId="3" applyFont="1" applyBorder="1" applyAlignment="1">
      <alignment horizontal="left" vertical="center"/>
    </xf>
    <xf numFmtId="0" fontId="7" fillId="7" borderId="42" xfId="0" applyFont="1" applyFill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7" fillId="7" borderId="43" xfId="0" applyFont="1" applyFill="1" applyBorder="1" applyAlignment="1">
      <alignment horizontal="center" vertical="center"/>
    </xf>
    <xf numFmtId="166" fontId="3" fillId="0" borderId="5" xfId="3" applyFont="1" applyBorder="1" applyAlignment="1">
      <alignment horizontal="center" vertical="center"/>
    </xf>
    <xf numFmtId="166" fontId="3" fillId="0" borderId="6" xfId="3" applyFont="1" applyBorder="1" applyAlignment="1">
      <alignment horizontal="center" vertical="center"/>
    </xf>
    <xf numFmtId="166" fontId="3" fillId="0" borderId="41" xfId="3" applyFont="1" applyBorder="1" applyAlignment="1">
      <alignment horizontal="center" vertical="center"/>
    </xf>
    <xf numFmtId="166" fontId="4" fillId="7" borderId="5" xfId="3" applyFont="1" applyFill="1" applyBorder="1" applyAlignment="1">
      <alignment horizontal="center" vertical="center"/>
    </xf>
    <xf numFmtId="166" fontId="4" fillId="7" borderId="6" xfId="3" applyFont="1" applyFill="1" applyBorder="1" applyAlignment="1">
      <alignment horizontal="center" vertical="center"/>
    </xf>
    <xf numFmtId="166" fontId="4" fillId="7" borderId="7" xfId="3" applyFont="1" applyFill="1" applyBorder="1" applyAlignment="1">
      <alignment horizontal="center" vertical="center"/>
    </xf>
    <xf numFmtId="0" fontId="17" fillId="7" borderId="24" xfId="0" applyFont="1" applyFill="1" applyBorder="1" applyAlignment="1">
      <alignment horizontal="center" vertical="center" wrapText="1"/>
    </xf>
    <xf numFmtId="0" fontId="17" fillId="7" borderId="0" xfId="0" applyFont="1" applyFill="1" applyBorder="1" applyAlignment="1">
      <alignment horizontal="center" vertical="center" wrapText="1"/>
    </xf>
    <xf numFmtId="0" fontId="17" fillId="7" borderId="19" xfId="0" applyFont="1" applyFill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9" borderId="17" xfId="0" applyFont="1" applyFill="1" applyBorder="1" applyAlignment="1">
      <alignment horizontal="center"/>
    </xf>
    <xf numFmtId="0" fontId="17" fillId="9" borderId="4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9" fontId="7" fillId="0" borderId="19" xfId="2" applyFont="1" applyBorder="1" applyAlignment="1">
      <alignment horizontal="center"/>
    </xf>
    <xf numFmtId="9" fontId="7" fillId="0" borderId="20" xfId="2" applyFont="1" applyBorder="1" applyAlignment="1">
      <alignment horizontal="center"/>
    </xf>
    <xf numFmtId="9" fontId="7" fillId="0" borderId="10" xfId="2" applyFont="1" applyBorder="1" applyAlignment="1">
      <alignment horizontal="center"/>
    </xf>
    <xf numFmtId="0" fontId="4" fillId="9" borderId="23" xfId="0" applyFont="1" applyFill="1" applyBorder="1" applyAlignment="1">
      <alignment horizontal="center" vertical="center"/>
    </xf>
    <xf numFmtId="0" fontId="4" fillId="9" borderId="24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17" fillId="9" borderId="19" xfId="0" applyFont="1" applyFill="1" applyBorder="1" applyAlignment="1">
      <alignment horizontal="center"/>
    </xf>
    <xf numFmtId="0" fontId="17" fillId="9" borderId="20" xfId="0" applyFont="1" applyFill="1" applyBorder="1" applyAlignment="1">
      <alignment horizontal="center"/>
    </xf>
    <xf numFmtId="0" fontId="17" fillId="9" borderId="10" xfId="0" applyFont="1" applyFill="1" applyBorder="1" applyAlignment="1">
      <alignment horizontal="center"/>
    </xf>
    <xf numFmtId="4" fontId="17" fillId="0" borderId="6" xfId="0" applyNumberFormat="1" applyFont="1" applyBorder="1" applyAlignment="1">
      <alignment horizontal="center" vertical="center" wrapText="1"/>
    </xf>
  </cellXfs>
  <cellStyles count="4">
    <cellStyle name="Hiperlink" xfId="1" builtinId="8"/>
    <cellStyle name="Normal" xfId="0" builtinId="0"/>
    <cellStyle name="Porcentagem" xfId="2" builtinId="5"/>
    <cellStyle name="Vírgula" xfId="3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>
          <a:extLst>
            <a:ext uri="{FF2B5EF4-FFF2-40B4-BE49-F238E27FC236}">
              <a16:creationId xmlns:a16="http://schemas.microsoft.com/office/drawing/2014/main" xmlns="" id="{00000000-0008-0000-0500-00006A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>
          <a:extLst>
            <a:ext uri="{FF2B5EF4-FFF2-40B4-BE49-F238E27FC236}">
              <a16:creationId xmlns:a16="http://schemas.microsoft.com/office/drawing/2014/main" xmlns="" id="{00000000-0008-0000-0500-00006B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74"/>
  <sheetViews>
    <sheetView tabSelected="1" view="pageBreakPreview" topLeftCell="A16" zoomScaleNormal="100" zoomScaleSheetLayoutView="100" workbookViewId="0">
      <selection activeCell="E77" sqref="E77"/>
    </sheetView>
  </sheetViews>
  <sheetFormatPr defaultRowHeight="12.75" x14ac:dyDescent="0.2"/>
  <cols>
    <col min="1" max="1" width="44.5703125" style="7" customWidth="1"/>
    <col min="2" max="2" width="16" style="7" bestFit="1" customWidth="1"/>
    <col min="3" max="3" width="11.85546875" style="7" customWidth="1"/>
    <col min="4" max="4" width="14.7109375" style="8" customWidth="1"/>
    <col min="5" max="5" width="15.42578125" style="8" customWidth="1"/>
    <col min="6" max="6" width="13.28515625" style="8" customWidth="1"/>
    <col min="7" max="7" width="28.140625" style="8" customWidth="1"/>
    <col min="8" max="8" width="9.140625" style="7"/>
    <col min="9" max="9" width="14.5703125" style="7" customWidth="1"/>
    <col min="10" max="10" width="13.42578125" style="7" customWidth="1"/>
    <col min="11" max="16384" width="9.140625" style="7"/>
  </cols>
  <sheetData>
    <row r="1" spans="1:7" x14ac:dyDescent="0.2">
      <c r="A1" s="295" t="s">
        <v>287</v>
      </c>
      <c r="B1" s="10"/>
      <c r="C1" s="10"/>
      <c r="D1" s="296"/>
      <c r="E1" s="296"/>
      <c r="F1" s="296"/>
    </row>
    <row r="2" spans="1:7" x14ac:dyDescent="0.2">
      <c r="A2" s="319" t="s">
        <v>298</v>
      </c>
      <c r="B2" s="320"/>
      <c r="C2" s="320"/>
      <c r="D2" s="320"/>
      <c r="E2" s="320"/>
      <c r="F2" s="320"/>
    </row>
    <row r="3" spans="1:7" x14ac:dyDescent="0.2">
      <c r="A3" s="320"/>
      <c r="B3" s="320"/>
      <c r="C3" s="320"/>
      <c r="D3" s="320"/>
      <c r="E3" s="320"/>
      <c r="F3" s="320"/>
    </row>
    <row r="4" spans="1:7" x14ac:dyDescent="0.2">
      <c r="A4" s="320"/>
      <c r="B4" s="320"/>
      <c r="C4" s="320"/>
      <c r="D4" s="320"/>
      <c r="E4" s="320"/>
      <c r="F4" s="320"/>
    </row>
    <row r="5" spans="1:7" s="2" customFormat="1" ht="15.6" customHeight="1" x14ac:dyDescent="0.2">
      <c r="A5" s="320"/>
      <c r="B5" s="320"/>
      <c r="C5" s="320"/>
      <c r="D5" s="320"/>
      <c r="E5" s="320"/>
      <c r="F5" s="320"/>
      <c r="G5" s="4"/>
    </row>
    <row r="6" spans="1:7" s="2" customFormat="1" ht="15.6" customHeight="1" x14ac:dyDescent="0.2">
      <c r="A6" s="320"/>
      <c r="B6" s="320"/>
      <c r="C6" s="320"/>
      <c r="D6" s="320"/>
      <c r="E6" s="320"/>
      <c r="F6" s="320"/>
      <c r="G6" s="4"/>
    </row>
    <row r="7" spans="1:7" s="2" customFormat="1" ht="15.6" customHeight="1" x14ac:dyDescent="0.2">
      <c r="A7" s="320"/>
      <c r="B7" s="320"/>
      <c r="C7" s="320"/>
      <c r="D7" s="320"/>
      <c r="E7" s="320"/>
      <c r="F7" s="320"/>
      <c r="G7" s="4"/>
    </row>
    <row r="8" spans="1:7" s="2" customFormat="1" ht="15.6" customHeight="1" x14ac:dyDescent="0.2">
      <c r="A8" s="320"/>
      <c r="B8" s="320"/>
      <c r="C8" s="320"/>
      <c r="D8" s="320"/>
      <c r="E8" s="320"/>
      <c r="F8" s="320"/>
      <c r="G8" s="4"/>
    </row>
    <row r="9" spans="1:7" s="2" customFormat="1" ht="15.6" customHeight="1" x14ac:dyDescent="0.2">
      <c r="A9" s="320"/>
      <c r="B9" s="320"/>
      <c r="C9" s="320"/>
      <c r="D9" s="320"/>
      <c r="E9" s="320"/>
      <c r="F9" s="320"/>
      <c r="G9" s="4"/>
    </row>
    <row r="10" spans="1:7" s="2" customFormat="1" ht="15.6" customHeight="1" x14ac:dyDescent="0.2">
      <c r="A10" s="320"/>
      <c r="B10" s="320"/>
      <c r="C10" s="320"/>
      <c r="D10" s="320"/>
      <c r="E10" s="320"/>
      <c r="F10" s="320"/>
      <c r="G10" s="4"/>
    </row>
    <row r="11" spans="1:7" s="2" customFormat="1" ht="16.5" customHeight="1" thickBot="1" x14ac:dyDescent="0.25">
      <c r="A11" s="321"/>
      <c r="B11" s="321"/>
      <c r="C11" s="321"/>
      <c r="D11" s="321"/>
      <c r="E11" s="321"/>
      <c r="F11" s="321"/>
      <c r="G11" s="4"/>
    </row>
    <row r="12" spans="1:7" s="2" customFormat="1" ht="16.5" customHeight="1" thickBot="1" x14ac:dyDescent="0.25">
      <c r="A12" s="355" t="s">
        <v>321</v>
      </c>
      <c r="B12" s="355"/>
      <c r="C12" s="355"/>
      <c r="D12" s="355"/>
      <c r="E12" s="355"/>
      <c r="F12" s="355"/>
      <c r="G12" s="4"/>
    </row>
    <row r="13" spans="1:7" s="6" customFormat="1" ht="18" customHeight="1" x14ac:dyDescent="0.2">
      <c r="A13" s="335" t="s">
        <v>299</v>
      </c>
      <c r="B13" s="335"/>
      <c r="C13" s="335"/>
      <c r="D13" s="335"/>
      <c r="E13" s="335"/>
      <c r="F13" s="335"/>
      <c r="G13" s="33"/>
    </row>
    <row r="14" spans="1:7" s="6" customFormat="1" ht="21.75" customHeight="1" x14ac:dyDescent="0.2">
      <c r="A14" s="336"/>
      <c r="B14" s="336"/>
      <c r="C14" s="336"/>
      <c r="D14" s="336"/>
      <c r="E14" s="336"/>
      <c r="F14" s="336"/>
      <c r="G14" s="33"/>
    </row>
    <row r="15" spans="1:7" s="6" customFormat="1" ht="21.75" customHeight="1" x14ac:dyDescent="0.2">
      <c r="A15" s="326" t="s">
        <v>40</v>
      </c>
      <c r="B15" s="327"/>
      <c r="C15" s="327"/>
      <c r="D15" s="327"/>
      <c r="E15" s="327"/>
      <c r="F15" s="328"/>
      <c r="G15" s="33"/>
    </row>
    <row r="16" spans="1:7" s="2" customFormat="1" ht="10.9" customHeight="1" thickBot="1" x14ac:dyDescent="0.25">
      <c r="A16" s="137"/>
      <c r="B16" s="138"/>
      <c r="C16" s="138"/>
      <c r="D16" s="139"/>
      <c r="E16" s="139"/>
      <c r="F16" s="140"/>
      <c r="G16" s="4"/>
    </row>
    <row r="17" spans="1:7" s="2" customFormat="1" ht="15.75" customHeight="1" thickBot="1" x14ac:dyDescent="0.25">
      <c r="A17" s="332" t="s">
        <v>191</v>
      </c>
      <c r="B17" s="333"/>
      <c r="C17" s="333"/>
      <c r="D17" s="333"/>
      <c r="E17" s="333"/>
      <c r="F17" s="334"/>
      <c r="G17" s="4"/>
    </row>
    <row r="18" spans="1:7" s="2" customFormat="1" ht="15.75" customHeight="1" x14ac:dyDescent="0.2">
      <c r="A18" s="58" t="s">
        <v>190</v>
      </c>
      <c r="B18" s="34"/>
      <c r="C18" s="34"/>
      <c r="D18" s="237"/>
      <c r="E18" s="103" t="s">
        <v>35</v>
      </c>
      <c r="F18" s="35" t="s">
        <v>2</v>
      </c>
      <c r="G18" s="4"/>
    </row>
    <row r="19" spans="1:7" s="9" customFormat="1" ht="15.75" customHeight="1" x14ac:dyDescent="0.2">
      <c r="A19" s="112" t="str">
        <f>A50</f>
        <v>1. Mão-de-obra</v>
      </c>
      <c r="B19" s="113"/>
      <c r="C19" s="114"/>
      <c r="D19" s="114"/>
      <c r="E19" s="234">
        <f>+F107</f>
        <v>8860.0087543576174</v>
      </c>
      <c r="F19" s="115">
        <f>IFERROR(E19/$E$32,0)</f>
        <v>0.26827904098903371</v>
      </c>
      <c r="G19" s="38"/>
    </row>
    <row r="20" spans="1:7" s="2" customFormat="1" ht="15.75" customHeight="1" x14ac:dyDescent="0.2">
      <c r="A20" s="43" t="str">
        <f>A52</f>
        <v>1.1. Coletor Turno Dia</v>
      </c>
      <c r="B20" s="39"/>
      <c r="C20" s="41"/>
      <c r="D20" s="41"/>
      <c r="E20" s="235">
        <f>F63</f>
        <v>4070.9956878458565</v>
      </c>
      <c r="F20" s="52">
        <f>IFERROR(E20/$E$32,0)</f>
        <v>0.12326881939801919</v>
      </c>
      <c r="G20" s="4"/>
    </row>
    <row r="21" spans="1:7" s="2" customFormat="1" ht="15.75" customHeight="1" x14ac:dyDescent="0.2">
      <c r="A21" s="43" t="str">
        <f>A65</f>
        <v>1.2. Triador / catador de recicláveis na central de triagem</v>
      </c>
      <c r="B21" s="39"/>
      <c r="C21" s="41"/>
      <c r="D21" s="41"/>
      <c r="E21" s="235">
        <f>F76</f>
        <v>1896.5902606028803</v>
      </c>
      <c r="F21" s="52">
        <f>IFERROR(E21/$E$32,0)</f>
        <v>5.7428319809890896E-2</v>
      </c>
      <c r="G21" s="4"/>
    </row>
    <row r="22" spans="1:7" s="2" customFormat="1" ht="15.75" customHeight="1" x14ac:dyDescent="0.2">
      <c r="A22" s="43" t="str">
        <f>A78</f>
        <v>1.3. Motorista Turno do Dia</v>
      </c>
      <c r="B22" s="39"/>
      <c r="C22" s="41"/>
      <c r="D22" s="41"/>
      <c r="E22" s="235">
        <f>F88</f>
        <v>2140.33690384072</v>
      </c>
      <c r="F22" s="52">
        <f>IFERROR(E22/$E$32,0)</f>
        <v>6.4808912482554104E-2</v>
      </c>
      <c r="G22" s="4"/>
    </row>
    <row r="23" spans="1:7" s="2" customFormat="1" ht="15.75" customHeight="1" x14ac:dyDescent="0.2">
      <c r="A23" s="43" t="str">
        <f>A90</f>
        <v>1.4. Engenheiro Responsável - 15 h/mês</v>
      </c>
      <c r="B23" s="39"/>
      <c r="C23" s="41"/>
      <c r="D23" s="41"/>
      <c r="E23" s="235">
        <f>F102</f>
        <v>752.08590206816007</v>
      </c>
      <c r="F23" s="52">
        <f>IFERROR(E23/$E$32,0)</f>
        <v>2.2772989298569524E-2</v>
      </c>
      <c r="G23" s="4"/>
    </row>
    <row r="24" spans="1:7" s="9" customFormat="1" ht="15.75" customHeight="1" x14ac:dyDescent="0.2">
      <c r="A24" s="324" t="str">
        <f>A109</f>
        <v>2. Uniformes e Equipamentos de Proteção Individual</v>
      </c>
      <c r="B24" s="325"/>
      <c r="C24" s="325"/>
      <c r="D24" s="114"/>
      <c r="E24" s="234">
        <f>+F140</f>
        <v>111.111</v>
      </c>
      <c r="F24" s="115">
        <f>IFERROR(E24/$E$32,0)</f>
        <v>3.3644156963921388E-3</v>
      </c>
      <c r="G24" s="38"/>
    </row>
    <row r="25" spans="1:7" s="9" customFormat="1" ht="15.75" customHeight="1" x14ac:dyDescent="0.2">
      <c r="A25" s="123" t="str">
        <f>A142</f>
        <v>3. Veículos e Equipamentos</v>
      </c>
      <c r="B25" s="124"/>
      <c r="C25" s="114"/>
      <c r="D25" s="114"/>
      <c r="E25" s="234">
        <f>+F300</f>
        <v>10786.060614352</v>
      </c>
      <c r="F25" s="115">
        <f>IFERROR(E25/$E$32,0)</f>
        <v>0.3265994512979174</v>
      </c>
      <c r="G25" s="38"/>
    </row>
    <row r="26" spans="1:7" s="2" customFormat="1" ht="15.75" customHeight="1" x14ac:dyDescent="0.2">
      <c r="A26" s="59" t="str">
        <f>A144</f>
        <v>3.1. Veículo Coletor Compactador 12 m³</v>
      </c>
      <c r="B26" s="40"/>
      <c r="C26" s="41"/>
      <c r="D26" s="41"/>
      <c r="E26" s="235">
        <f>F221</f>
        <v>6583.3178718392146</v>
      </c>
      <c r="F26" s="130">
        <f>IFERROR(E26/$E$32,0)</f>
        <v>0.19934136118255386</v>
      </c>
      <c r="G26" s="4"/>
    </row>
    <row r="27" spans="1:7" s="2" customFormat="1" ht="15.75" customHeight="1" x14ac:dyDescent="0.2">
      <c r="A27" s="59" t="s">
        <v>320</v>
      </c>
      <c r="B27" s="40"/>
      <c r="C27" s="41"/>
      <c r="D27" s="41"/>
      <c r="E27" s="235">
        <f>F299</f>
        <v>4202.7427425127853</v>
      </c>
      <c r="F27" s="130">
        <f>IFERROR(E27/$E$32,0)</f>
        <v>0.12725809011536354</v>
      </c>
      <c r="G27" s="4"/>
    </row>
    <row r="28" spans="1:7" s="9" customFormat="1" ht="15.75" customHeight="1" x14ac:dyDescent="0.2">
      <c r="A28" s="123" t="str">
        <f>A303</f>
        <v>4. Ferramentas e Materiais de Consumo</v>
      </c>
      <c r="B28" s="124"/>
      <c r="C28" s="114"/>
      <c r="D28" s="114"/>
      <c r="E28" s="234">
        <f>+F313</f>
        <v>23</v>
      </c>
      <c r="F28" s="115">
        <f>IFERROR(E28/$E$32,0)</f>
        <v>6.9643474558791823E-4</v>
      </c>
      <c r="G28" s="38"/>
    </row>
    <row r="29" spans="1:7" s="9" customFormat="1" ht="15.75" customHeight="1" x14ac:dyDescent="0.2">
      <c r="A29" s="123" t="str">
        <f>A315</f>
        <v>5. Monitoramento da Frota</v>
      </c>
      <c r="B29" s="124"/>
      <c r="C29" s="114"/>
      <c r="D29" s="114"/>
      <c r="E29" s="234">
        <f>+F324</f>
        <v>37.125</v>
      </c>
      <c r="F29" s="115">
        <f>IFERROR(E29/$E$32,0)</f>
        <v>1.1241365186935419E-3</v>
      </c>
      <c r="G29" s="38"/>
    </row>
    <row r="30" spans="1:7" s="9" customFormat="1" ht="15.75" customHeight="1" x14ac:dyDescent="0.2">
      <c r="A30" s="315" t="s">
        <v>318</v>
      </c>
      <c r="B30" s="124"/>
      <c r="C30" s="114"/>
      <c r="D30" s="114"/>
      <c r="E30" s="313">
        <f>F330</f>
        <v>6525</v>
      </c>
      <c r="F30" s="314">
        <f>IFERROR(E30/$E$32,0)</f>
        <v>0.19757550934613768</v>
      </c>
      <c r="G30" s="38"/>
    </row>
    <row r="31" spans="1:7" s="9" customFormat="1" ht="15.75" customHeight="1" thickBot="1" x14ac:dyDescent="0.25">
      <c r="A31" s="123" t="str">
        <f>A334</f>
        <v>7. Benefícios e Despesas Indiretas - BDI</v>
      </c>
      <c r="B31" s="124"/>
      <c r="C31" s="114"/>
      <c r="D31" s="114"/>
      <c r="E31" s="236">
        <f>+F340</f>
        <v>6683.0428720416294</v>
      </c>
      <c r="F31" s="115">
        <f>IFERROR(E31/$E$32,0)</f>
        <v>0.2023610114062375</v>
      </c>
      <c r="G31" s="38"/>
    </row>
    <row r="32" spans="1:7" s="2" customFormat="1" ht="15.75" customHeight="1" thickBot="1" x14ac:dyDescent="0.25">
      <c r="A32" s="36" t="s">
        <v>316</v>
      </c>
      <c r="B32" s="37"/>
      <c r="C32" s="23"/>
      <c r="D32" s="23"/>
      <c r="E32" s="102">
        <f>E19+E24+E25+E28+E29+E31+E30</f>
        <v>33025.348240751249</v>
      </c>
      <c r="F32" s="129">
        <f>F19+F24+F25+F28+F29+F31+F30</f>
        <v>0.99999999999999989</v>
      </c>
      <c r="G32" s="4"/>
    </row>
    <row r="34" spans="1:7" ht="13.5" thickBot="1" x14ac:dyDescent="0.25"/>
    <row r="35" spans="1:7" s="2" customFormat="1" ht="15" customHeight="1" thickBot="1" x14ac:dyDescent="0.25">
      <c r="A35" s="332" t="s">
        <v>88</v>
      </c>
      <c r="B35" s="333"/>
      <c r="C35" s="333"/>
      <c r="D35" s="333"/>
      <c r="E35" s="334"/>
      <c r="F35" s="8"/>
      <c r="G35" s="4"/>
    </row>
    <row r="36" spans="1:7" s="2" customFormat="1" ht="15" customHeight="1" thickBot="1" x14ac:dyDescent="0.25">
      <c r="A36" s="329" t="s">
        <v>36</v>
      </c>
      <c r="B36" s="330"/>
      <c r="C36" s="330"/>
      <c r="D36" s="331"/>
      <c r="E36" s="42" t="s">
        <v>37</v>
      </c>
      <c r="F36" s="8"/>
      <c r="G36" s="4"/>
    </row>
    <row r="37" spans="1:7" s="2" customFormat="1" ht="15" customHeight="1" x14ac:dyDescent="0.2">
      <c r="A37" s="297" t="str">
        <f>+A52</f>
        <v>1.1. Coletor Turno Dia</v>
      </c>
      <c r="B37" s="66"/>
      <c r="C37" s="66"/>
      <c r="D37" s="67"/>
      <c r="E37" s="68">
        <f>C62</f>
        <v>2</v>
      </c>
      <c r="F37" s="8"/>
      <c r="G37" s="4"/>
    </row>
    <row r="38" spans="1:7" s="2" customFormat="1" ht="15" customHeight="1" x14ac:dyDescent="0.2">
      <c r="A38" s="298" t="str">
        <f>+A65</f>
        <v>1.2. Triador / catador de recicláveis na central de triagem</v>
      </c>
      <c r="B38" s="60"/>
      <c r="C38" s="60"/>
      <c r="D38" s="69"/>
      <c r="E38" s="63">
        <f>C75</f>
        <v>1</v>
      </c>
      <c r="F38" s="8"/>
      <c r="G38" s="4"/>
    </row>
    <row r="39" spans="1:7" s="2" customFormat="1" ht="15" customHeight="1" x14ac:dyDescent="0.2">
      <c r="A39" s="298" t="str">
        <f>+A78</f>
        <v>1.3. Motorista Turno do Dia</v>
      </c>
      <c r="B39" s="60"/>
      <c r="C39" s="60"/>
      <c r="D39" s="69"/>
      <c r="E39" s="63">
        <f>C87</f>
        <v>1</v>
      </c>
      <c r="F39" s="8"/>
      <c r="G39" s="4"/>
    </row>
    <row r="40" spans="1:7" s="2" customFormat="1" ht="15" customHeight="1" x14ac:dyDescent="0.2">
      <c r="A40" s="298" t="str">
        <f>+A90</f>
        <v>1.4. Engenheiro Responsável - 15 h/mês</v>
      </c>
      <c r="B40" s="60"/>
      <c r="C40" s="60"/>
      <c r="D40" s="69"/>
      <c r="E40" s="63">
        <f>C101</f>
        <v>1</v>
      </c>
      <c r="F40" s="8"/>
      <c r="G40" s="4"/>
    </row>
    <row r="41" spans="1:7" s="2" customFormat="1" ht="15" customHeight="1" thickBot="1" x14ac:dyDescent="0.25">
      <c r="A41" s="64" t="s">
        <v>55</v>
      </c>
      <c r="B41" s="65"/>
      <c r="C41" s="65"/>
      <c r="D41" s="70"/>
      <c r="E41" s="71">
        <f>SUM(E37:E40)</f>
        <v>5</v>
      </c>
      <c r="F41" s="8"/>
      <c r="G41" s="4"/>
    </row>
    <row r="42" spans="1:7" s="2" customFormat="1" ht="15" customHeight="1" thickBot="1" x14ac:dyDescent="0.25">
      <c r="A42" s="116"/>
      <c r="B42" s="117"/>
      <c r="C42" s="53"/>
      <c r="D42" s="53"/>
      <c r="E42" s="118"/>
      <c r="F42" s="8"/>
      <c r="G42" s="4"/>
    </row>
    <row r="43" spans="1:7" s="2" customFormat="1" ht="15" customHeight="1" x14ac:dyDescent="0.2">
      <c r="A43" s="322" t="s">
        <v>52</v>
      </c>
      <c r="B43" s="323"/>
      <c r="C43" s="323"/>
      <c r="D43" s="323"/>
      <c r="E43" s="42" t="s">
        <v>37</v>
      </c>
      <c r="F43" s="7"/>
      <c r="G43" s="4"/>
    </row>
    <row r="44" spans="1:7" s="2" customFormat="1" ht="15" customHeight="1" thickBot="1" x14ac:dyDescent="0.25">
      <c r="A44" s="119" t="str">
        <f>+A144</f>
        <v>3.1. Veículo Coletor Compactador 12 m³</v>
      </c>
      <c r="B44" s="293"/>
      <c r="C44" s="293"/>
      <c r="D44" s="293"/>
      <c r="E44" s="122">
        <f>C159</f>
        <v>1</v>
      </c>
      <c r="F44" s="7"/>
      <c r="G44" s="4"/>
    </row>
    <row r="45" spans="1:7" s="2" customFormat="1" ht="15" customHeight="1" thickBot="1" x14ac:dyDescent="0.25">
      <c r="A45" s="119" t="str">
        <f>+A223</f>
        <v>3.2. Veículo roll on roll off</v>
      </c>
      <c r="B45" s="120"/>
      <c r="C45" s="120"/>
      <c r="D45" s="121"/>
      <c r="E45" s="122">
        <f>C159</f>
        <v>1</v>
      </c>
      <c r="F45" s="7"/>
      <c r="G45" s="4"/>
    </row>
    <row r="46" spans="1:7" s="2" customFormat="1" ht="15" customHeight="1" x14ac:dyDescent="0.2">
      <c r="A46" s="53"/>
      <c r="B46" s="53"/>
      <c r="C46" s="53"/>
      <c r="D46" s="48"/>
      <c r="E46" s="233"/>
      <c r="F46" s="7"/>
      <c r="G46" s="4"/>
    </row>
    <row r="47" spans="1:7" s="2" customFormat="1" ht="13.5" thickBot="1" x14ac:dyDescent="0.25">
      <c r="A47" s="53"/>
      <c r="B47" s="53"/>
      <c r="C47" s="53"/>
      <c r="D47" s="48"/>
      <c r="E47" s="61"/>
      <c r="F47" s="7"/>
      <c r="G47" s="4"/>
    </row>
    <row r="48" spans="1:7" s="9" customFormat="1" ht="15.75" customHeight="1" thickBot="1" x14ac:dyDescent="0.25">
      <c r="A48" s="238" t="s">
        <v>186</v>
      </c>
      <c r="B48" s="239">
        <v>0.55000000000000004</v>
      </c>
      <c r="C48" s="32"/>
      <c r="D48" s="31"/>
      <c r="E48" s="142"/>
      <c r="G48" s="38"/>
    </row>
    <row r="49" spans="1:7" s="2" customFormat="1" ht="15.75" customHeight="1" x14ac:dyDescent="0.2">
      <c r="A49" s="53"/>
      <c r="B49" s="53"/>
      <c r="C49" s="53"/>
      <c r="D49" s="48"/>
      <c r="E49" s="61"/>
      <c r="F49" s="7"/>
      <c r="G49" s="4"/>
    </row>
    <row r="50" spans="1:7" ht="13.15" customHeight="1" x14ac:dyDescent="0.2">
      <c r="A50" s="9" t="s">
        <v>43</v>
      </c>
    </row>
    <row r="51" spans="1:7" ht="11.25" customHeight="1" x14ac:dyDescent="0.2"/>
    <row r="52" spans="1:7" ht="13.9" customHeight="1" thickBot="1" x14ac:dyDescent="0.25">
      <c r="A52" s="7" t="s">
        <v>90</v>
      </c>
    </row>
    <row r="53" spans="1:7" ht="13.9" customHeight="1" thickBot="1" x14ac:dyDescent="0.25">
      <c r="A53" s="54" t="s">
        <v>59</v>
      </c>
      <c r="B53" s="55" t="s">
        <v>60</v>
      </c>
      <c r="C53" s="55" t="s">
        <v>37</v>
      </c>
      <c r="D53" s="56" t="s">
        <v>221</v>
      </c>
      <c r="E53" s="56" t="s">
        <v>61</v>
      </c>
      <c r="F53" s="57" t="s">
        <v>62</v>
      </c>
    </row>
    <row r="54" spans="1:7" ht="13.15" customHeight="1" x14ac:dyDescent="0.2">
      <c r="A54" s="11" t="s">
        <v>201</v>
      </c>
      <c r="B54" s="12" t="s">
        <v>8</v>
      </c>
      <c r="C54" s="12">
        <v>1</v>
      </c>
      <c r="D54" s="79">
        <v>1549.57</v>
      </c>
      <c r="E54" s="13">
        <f>C54*D54</f>
        <v>1549.57</v>
      </c>
    </row>
    <row r="55" spans="1:7" x14ac:dyDescent="0.2">
      <c r="A55" s="14" t="s">
        <v>31</v>
      </c>
      <c r="B55" s="15" t="s">
        <v>0</v>
      </c>
      <c r="C55" s="80">
        <v>0</v>
      </c>
      <c r="D55" s="16">
        <f>D54/220*2</f>
        <v>14.087</v>
      </c>
      <c r="E55" s="16">
        <f>C55*D55</f>
        <v>0</v>
      </c>
    </row>
    <row r="56" spans="1:7" ht="13.15" customHeight="1" x14ac:dyDescent="0.2">
      <c r="A56" s="14" t="s">
        <v>32</v>
      </c>
      <c r="B56" s="15" t="s">
        <v>0</v>
      </c>
      <c r="C56" s="80">
        <v>0</v>
      </c>
      <c r="D56" s="16">
        <f>D54/220*1.5</f>
        <v>10.565249999999999</v>
      </c>
      <c r="E56" s="16">
        <f>C56*D56</f>
        <v>0</v>
      </c>
    </row>
    <row r="57" spans="1:7" ht="13.15" customHeight="1" x14ac:dyDescent="0.2">
      <c r="A57" s="14" t="s">
        <v>203</v>
      </c>
      <c r="B57" s="15" t="s">
        <v>30</v>
      </c>
      <c r="D57" s="16">
        <f>63/302*(SUM(E55:E56))</f>
        <v>0</v>
      </c>
      <c r="E57" s="16">
        <f>D57</f>
        <v>0</v>
      </c>
    </row>
    <row r="58" spans="1:7" x14ac:dyDescent="0.2">
      <c r="A58" s="14" t="s">
        <v>1</v>
      </c>
      <c r="B58" s="15" t="s">
        <v>2</v>
      </c>
      <c r="C58" s="15">
        <v>40</v>
      </c>
      <c r="D58" s="75">
        <f>SUM(E54:E57)</f>
        <v>1549.57</v>
      </c>
      <c r="E58" s="16">
        <f>C58*D58/100</f>
        <v>619.82799999999997</v>
      </c>
    </row>
    <row r="59" spans="1:7" x14ac:dyDescent="0.2">
      <c r="A59" s="104" t="s">
        <v>3</v>
      </c>
      <c r="B59" s="105"/>
      <c r="C59" s="105"/>
      <c r="D59" s="106"/>
      <c r="E59" s="107">
        <f>SUM(E54:E58)</f>
        <v>2169.3980000000001</v>
      </c>
    </row>
    <row r="60" spans="1:7" x14ac:dyDescent="0.2">
      <c r="A60" s="14" t="s">
        <v>4</v>
      </c>
      <c r="B60" s="15" t="s">
        <v>2</v>
      </c>
      <c r="C60" s="127">
        <f>'2.Encargos Sociais'!$C$37*100</f>
        <v>70.595951999999997</v>
      </c>
      <c r="D60" s="16">
        <f>E59</f>
        <v>2169.3980000000001</v>
      </c>
      <c r="E60" s="16">
        <f>D60*C60/100</f>
        <v>1531.5071707689599</v>
      </c>
    </row>
    <row r="61" spans="1:7" x14ac:dyDescent="0.2">
      <c r="A61" s="104" t="s">
        <v>68</v>
      </c>
      <c r="B61" s="105"/>
      <c r="C61" s="105"/>
      <c r="D61" s="106"/>
      <c r="E61" s="107">
        <f>E59+E60</f>
        <v>3700.90517076896</v>
      </c>
    </row>
    <row r="62" spans="1:7" ht="13.5" thickBot="1" x14ac:dyDescent="0.25">
      <c r="A62" s="14" t="s">
        <v>5</v>
      </c>
      <c r="B62" s="15" t="s">
        <v>6</v>
      </c>
      <c r="C62" s="78">
        <v>2</v>
      </c>
      <c r="D62" s="16">
        <f>E61</f>
        <v>3700.90517076896</v>
      </c>
      <c r="E62" s="16">
        <f>C62*D62</f>
        <v>7401.8103415379201</v>
      </c>
      <c r="G62" s="4"/>
    </row>
    <row r="63" spans="1:7" ht="13.9" customHeight="1" thickBot="1" x14ac:dyDescent="0.25">
      <c r="D63" s="110" t="s">
        <v>185</v>
      </c>
      <c r="E63" s="44">
        <v>0.55000000000000004</v>
      </c>
      <c r="F63" s="111">
        <f>E62*E63</f>
        <v>4070.9956878458565</v>
      </c>
      <c r="G63" s="4"/>
    </row>
    <row r="64" spans="1:7" ht="11.25" customHeight="1" x14ac:dyDescent="0.2"/>
    <row r="65" spans="1:7" ht="13.5" thickBot="1" x14ac:dyDescent="0.25">
      <c r="A65" s="5" t="s">
        <v>317</v>
      </c>
    </row>
    <row r="66" spans="1:7" ht="13.5" thickBot="1" x14ac:dyDescent="0.25">
      <c r="A66" s="54" t="s">
        <v>59</v>
      </c>
      <c r="B66" s="55" t="s">
        <v>60</v>
      </c>
      <c r="C66" s="55" t="s">
        <v>37</v>
      </c>
      <c r="D66" s="56" t="s">
        <v>221</v>
      </c>
      <c r="E66" s="56" t="s">
        <v>61</v>
      </c>
      <c r="F66" s="57" t="s">
        <v>62</v>
      </c>
    </row>
    <row r="67" spans="1:7" x14ac:dyDescent="0.2">
      <c r="A67" s="11" t="s">
        <v>201</v>
      </c>
      <c r="B67" s="12" t="s">
        <v>8</v>
      </c>
      <c r="C67" s="12">
        <v>1</v>
      </c>
      <c r="D67" s="13">
        <v>1389.68</v>
      </c>
      <c r="E67" s="13">
        <f>C67*D67</f>
        <v>1389.68</v>
      </c>
    </row>
    <row r="68" spans="1:7" x14ac:dyDescent="0.2">
      <c r="A68" s="14" t="s">
        <v>7</v>
      </c>
      <c r="B68" s="15" t="s">
        <v>89</v>
      </c>
      <c r="C68" s="80">
        <v>0</v>
      </c>
      <c r="D68" s="16"/>
      <c r="E68" s="16"/>
    </row>
    <row r="69" spans="1:7" x14ac:dyDescent="0.2">
      <c r="A69" s="14"/>
      <c r="B69" s="15" t="s">
        <v>92</v>
      </c>
      <c r="C69" s="108">
        <f>C68*8/7</f>
        <v>0</v>
      </c>
      <c r="D69" s="16">
        <f>D67/220*2*1.2</f>
        <v>15.160145454545454</v>
      </c>
      <c r="E69" s="16">
        <f>C69*D69</f>
        <v>0</v>
      </c>
    </row>
    <row r="70" spans="1:7" x14ac:dyDescent="0.2">
      <c r="A70" s="14" t="s">
        <v>1</v>
      </c>
      <c r="B70" s="15" t="s">
        <v>2</v>
      </c>
      <c r="C70" s="15">
        <v>0</v>
      </c>
      <c r="D70" s="75">
        <f>SUM(E67:E69)</f>
        <v>1389.68</v>
      </c>
      <c r="E70" s="16">
        <f>C70*D70/100</f>
        <v>0</v>
      </c>
    </row>
    <row r="71" spans="1:7" x14ac:dyDescent="0.2">
      <c r="A71" s="290" t="s">
        <v>291</v>
      </c>
      <c r="B71" s="15" t="s">
        <v>2</v>
      </c>
      <c r="C71" s="15">
        <v>0</v>
      </c>
      <c r="D71" s="49">
        <f>D70</f>
        <v>1389.68</v>
      </c>
      <c r="E71" s="16">
        <f>C71*D71/100</f>
        <v>0</v>
      </c>
    </row>
    <row r="72" spans="1:7" x14ac:dyDescent="0.2">
      <c r="A72" s="104" t="s">
        <v>3</v>
      </c>
      <c r="B72" s="105"/>
      <c r="C72" s="105"/>
      <c r="D72" s="106"/>
      <c r="E72" s="107">
        <f>SUM(E67:E71)</f>
        <v>1389.68</v>
      </c>
    </row>
    <row r="73" spans="1:7" x14ac:dyDescent="0.2">
      <c r="A73" s="14" t="s">
        <v>4</v>
      </c>
      <c r="B73" s="15" t="s">
        <v>2</v>
      </c>
      <c r="C73" s="127">
        <f>'2.Encargos Sociais'!$C$37*100</f>
        <v>70.595951999999997</v>
      </c>
      <c r="D73" s="16">
        <f>E72</f>
        <v>1389.68</v>
      </c>
      <c r="E73" s="16">
        <f>D73*C73/100</f>
        <v>981.05782575360001</v>
      </c>
    </row>
    <row r="74" spans="1:7" x14ac:dyDescent="0.2">
      <c r="A74" s="104" t="s">
        <v>288</v>
      </c>
      <c r="B74" s="105"/>
      <c r="C74" s="105"/>
      <c r="D74" s="106"/>
      <c r="E74" s="107">
        <f>E72+E73</f>
        <v>2370.7378257536002</v>
      </c>
    </row>
    <row r="75" spans="1:7" ht="13.5" thickBot="1" x14ac:dyDescent="0.25">
      <c r="A75" s="14" t="s">
        <v>5</v>
      </c>
      <c r="B75" s="15" t="s">
        <v>6</v>
      </c>
      <c r="C75" s="78">
        <v>1</v>
      </c>
      <c r="D75" s="16">
        <f>E74</f>
        <v>2370.7378257536002</v>
      </c>
      <c r="E75" s="16">
        <f>C75*D75</f>
        <v>2370.7378257536002</v>
      </c>
    </row>
    <row r="76" spans="1:7" ht="13.5" thickBot="1" x14ac:dyDescent="0.25">
      <c r="D76" s="110" t="s">
        <v>185</v>
      </c>
      <c r="E76" s="44">
        <v>0.8</v>
      </c>
      <c r="F76" s="111">
        <f>E75*E76</f>
        <v>1896.5902606028803</v>
      </c>
    </row>
    <row r="77" spans="1:7" ht="11.25" customHeight="1" x14ac:dyDescent="0.2"/>
    <row r="78" spans="1:7" ht="13.5" thickBot="1" x14ac:dyDescent="0.25">
      <c r="A78" s="7" t="s">
        <v>91</v>
      </c>
    </row>
    <row r="79" spans="1:7" s="10" customFormat="1" ht="13.15" customHeight="1" thickBot="1" x14ac:dyDescent="0.25">
      <c r="A79" s="54" t="s">
        <v>59</v>
      </c>
      <c r="B79" s="55" t="s">
        <v>60</v>
      </c>
      <c r="C79" s="55" t="s">
        <v>37</v>
      </c>
      <c r="D79" s="56" t="s">
        <v>221</v>
      </c>
      <c r="E79" s="56" t="s">
        <v>61</v>
      </c>
      <c r="F79" s="57" t="s">
        <v>62</v>
      </c>
      <c r="G79" s="8"/>
    </row>
    <row r="80" spans="1:7" x14ac:dyDescent="0.2">
      <c r="A80" s="283" t="s">
        <v>269</v>
      </c>
      <c r="B80" s="12" t="s">
        <v>8</v>
      </c>
      <c r="C80" s="12">
        <v>1</v>
      </c>
      <c r="D80" s="79">
        <v>1930.19</v>
      </c>
      <c r="E80" s="13">
        <f>C80*D80</f>
        <v>1930.19</v>
      </c>
    </row>
    <row r="81" spans="1:7" x14ac:dyDescent="0.2">
      <c r="A81" s="283" t="s">
        <v>270</v>
      </c>
      <c r="B81" s="12" t="s">
        <v>8</v>
      </c>
      <c r="C81" s="12">
        <v>1</v>
      </c>
      <c r="D81" s="79">
        <v>1212</v>
      </c>
      <c r="E81" s="13"/>
    </row>
    <row r="82" spans="1:7" x14ac:dyDescent="0.2">
      <c r="A82" s="14" t="s">
        <v>202</v>
      </c>
      <c r="B82" s="15"/>
      <c r="C82" s="82">
        <v>0</v>
      </c>
      <c r="D82" s="16"/>
      <c r="E82" s="16"/>
    </row>
    <row r="83" spans="1:7" x14ac:dyDescent="0.2">
      <c r="A83" s="14" t="s">
        <v>1</v>
      </c>
      <c r="B83" s="15" t="s">
        <v>2</v>
      </c>
      <c r="C83" s="78">
        <v>0</v>
      </c>
      <c r="D83" s="75">
        <f>IF(C82=2,SUM(E80:E81),IF(C82=1,(SUM(E80:E81))*D81/D80,0))</f>
        <v>0</v>
      </c>
      <c r="E83" s="16">
        <f>C83*D83/100</f>
        <v>0</v>
      </c>
    </row>
    <row r="84" spans="1:7" s="9" customFormat="1" x14ac:dyDescent="0.2">
      <c r="A84" s="90" t="s">
        <v>3</v>
      </c>
      <c r="B84" s="105"/>
      <c r="C84" s="105"/>
      <c r="D84" s="106"/>
      <c r="E84" s="92">
        <f>SUM(E80:E83)</f>
        <v>1930.19</v>
      </c>
      <c r="F84" s="38"/>
      <c r="G84" s="38"/>
    </row>
    <row r="85" spans="1:7" x14ac:dyDescent="0.2">
      <c r="A85" s="14" t="s">
        <v>4</v>
      </c>
      <c r="B85" s="15" t="s">
        <v>2</v>
      </c>
      <c r="C85" s="127">
        <f>'2.Encargos Sociais'!$C$37*100</f>
        <v>70.595951999999997</v>
      </c>
      <c r="D85" s="16">
        <f>E84</f>
        <v>1930.19</v>
      </c>
      <c r="E85" s="16">
        <f>D85*C85/100</f>
        <v>1362.6360059087999</v>
      </c>
    </row>
    <row r="86" spans="1:7" s="9" customFormat="1" x14ac:dyDescent="0.2">
      <c r="A86" s="90" t="s">
        <v>235</v>
      </c>
      <c r="B86" s="245"/>
      <c r="C86" s="245"/>
      <c r="D86" s="246"/>
      <c r="E86" s="92">
        <f>E84+E85</f>
        <v>3292.8260059087997</v>
      </c>
      <c r="F86" s="38"/>
      <c r="G86" s="38"/>
    </row>
    <row r="87" spans="1:7" ht="13.5" thickBot="1" x14ac:dyDescent="0.25">
      <c r="A87" s="14" t="s">
        <v>5</v>
      </c>
      <c r="B87" s="15" t="s">
        <v>6</v>
      </c>
      <c r="C87" s="78">
        <v>1</v>
      </c>
      <c r="D87" s="16">
        <f>E86</f>
        <v>3292.8260059087997</v>
      </c>
      <c r="E87" s="16">
        <f>C87*D87</f>
        <v>3292.8260059087997</v>
      </c>
    </row>
    <row r="88" spans="1:7" ht="13.5" thickBot="1" x14ac:dyDescent="0.25">
      <c r="D88" s="110" t="s">
        <v>185</v>
      </c>
      <c r="E88" s="44">
        <v>0.65</v>
      </c>
      <c r="F88" s="111">
        <f>E87*E88</f>
        <v>2140.33690384072</v>
      </c>
    </row>
    <row r="89" spans="1:7" ht="11.25" customHeight="1" x14ac:dyDescent="0.2"/>
    <row r="90" spans="1:7" ht="13.5" thickBot="1" x14ac:dyDescent="0.25">
      <c r="A90" s="5" t="s">
        <v>281</v>
      </c>
    </row>
    <row r="91" spans="1:7" ht="13.5" thickBot="1" x14ac:dyDescent="0.25">
      <c r="A91" s="54" t="s">
        <v>59</v>
      </c>
      <c r="B91" s="55" t="s">
        <v>60</v>
      </c>
      <c r="C91" s="55" t="s">
        <v>37</v>
      </c>
      <c r="D91" s="56" t="s">
        <v>221</v>
      </c>
      <c r="E91" s="56" t="s">
        <v>61</v>
      </c>
      <c r="F91" s="57" t="s">
        <v>62</v>
      </c>
    </row>
    <row r="92" spans="1:7" x14ac:dyDescent="0.2">
      <c r="A92" s="283" t="s">
        <v>269</v>
      </c>
      <c r="B92" s="12" t="s">
        <v>8</v>
      </c>
      <c r="C92" s="12">
        <v>1</v>
      </c>
      <c r="D92" s="79">
        <v>801.56</v>
      </c>
      <c r="E92" s="13">
        <f>C92*D92</f>
        <v>801.56</v>
      </c>
    </row>
    <row r="93" spans="1:7" x14ac:dyDescent="0.2">
      <c r="A93" s="283" t="s">
        <v>270</v>
      </c>
      <c r="B93" s="12" t="s">
        <v>8</v>
      </c>
      <c r="C93" s="12">
        <v>1</v>
      </c>
      <c r="D93" s="81">
        <f>D81</f>
        <v>1212</v>
      </c>
      <c r="E93" s="16"/>
    </row>
    <row r="94" spans="1:7" x14ac:dyDescent="0.2">
      <c r="A94" s="14" t="s">
        <v>7</v>
      </c>
      <c r="B94" s="15" t="s">
        <v>89</v>
      </c>
      <c r="C94" s="80">
        <v>0</v>
      </c>
      <c r="D94" s="14"/>
      <c r="E94" s="14"/>
    </row>
    <row r="95" spans="1:7" x14ac:dyDescent="0.2">
      <c r="A95" s="14"/>
      <c r="B95" s="15" t="s">
        <v>92</v>
      </c>
      <c r="C95" s="16">
        <f>C94*8/7</f>
        <v>0</v>
      </c>
      <c r="D95" s="16">
        <f>D92/220*0.2</f>
        <v>0.72869090909090906</v>
      </c>
      <c r="E95" s="16">
        <f>C95*D95</f>
        <v>0</v>
      </c>
    </row>
    <row r="96" spans="1:7" x14ac:dyDescent="0.2">
      <c r="A96" s="14" t="s">
        <v>202</v>
      </c>
      <c r="B96" s="15"/>
      <c r="C96" s="82">
        <v>0</v>
      </c>
      <c r="D96" s="16"/>
      <c r="E96" s="16"/>
    </row>
    <row r="97" spans="1:7" x14ac:dyDescent="0.2">
      <c r="A97" s="14" t="s">
        <v>1</v>
      </c>
      <c r="B97" s="15" t="s">
        <v>2</v>
      </c>
      <c r="C97" s="75">
        <f>+C83</f>
        <v>0</v>
      </c>
      <c r="D97" s="75">
        <f>IF(C96=2,SUM(E92:E95),IF(C96=1,SUM(E92:E95)*D93/D92,0))</f>
        <v>0</v>
      </c>
      <c r="E97" s="16">
        <f>C97*D97/100</f>
        <v>0</v>
      </c>
    </row>
    <row r="98" spans="1:7" s="9" customFormat="1" x14ac:dyDescent="0.2">
      <c r="A98" s="104" t="s">
        <v>3</v>
      </c>
      <c r="B98" s="105"/>
      <c r="C98" s="105"/>
      <c r="D98" s="106"/>
      <c r="E98" s="107">
        <f>SUM(E92:E97)</f>
        <v>801.56</v>
      </c>
      <c r="F98" s="38"/>
      <c r="G98" s="38"/>
    </row>
    <row r="99" spans="1:7" x14ac:dyDescent="0.2">
      <c r="A99" s="14" t="s">
        <v>4</v>
      </c>
      <c r="B99" s="15" t="s">
        <v>2</v>
      </c>
      <c r="C99" s="127">
        <f>'2.Encargos Sociais'!$C$37*100</f>
        <v>70.595951999999997</v>
      </c>
      <c r="D99" s="16">
        <f>E98</f>
        <v>801.56</v>
      </c>
      <c r="E99" s="16">
        <f>D99*C99/100</f>
        <v>565.86891285119998</v>
      </c>
    </row>
    <row r="100" spans="1:7" s="9" customFormat="1" x14ac:dyDescent="0.2">
      <c r="A100" s="104" t="s">
        <v>288</v>
      </c>
      <c r="B100" s="105"/>
      <c r="C100" s="105"/>
      <c r="D100" s="106"/>
      <c r="E100" s="107">
        <f>E98+E99</f>
        <v>1367.4289128512</v>
      </c>
      <c r="F100" s="38"/>
      <c r="G100" s="38"/>
    </row>
    <row r="101" spans="1:7" ht="13.5" thickBot="1" x14ac:dyDescent="0.25">
      <c r="A101" s="14" t="s">
        <v>5</v>
      </c>
      <c r="B101" s="15" t="s">
        <v>6</v>
      </c>
      <c r="C101" s="78">
        <v>1</v>
      </c>
      <c r="D101" s="16">
        <f>E100</f>
        <v>1367.4289128512</v>
      </c>
      <c r="E101" s="16">
        <f>C101*D101</f>
        <v>1367.4289128512</v>
      </c>
    </row>
    <row r="102" spans="1:7" ht="13.5" thickBot="1" x14ac:dyDescent="0.25">
      <c r="D102" s="110" t="s">
        <v>185</v>
      </c>
      <c r="E102" s="44">
        <f>$B$48</f>
        <v>0.55000000000000004</v>
      </c>
      <c r="F102" s="111">
        <f>E101*E102</f>
        <v>752.08590206816007</v>
      </c>
    </row>
    <row r="103" spans="1:7" ht="11.25" customHeight="1" x14ac:dyDescent="0.2">
      <c r="G103" s="7"/>
    </row>
    <row r="104" spans="1:7" ht="11.25" customHeight="1" x14ac:dyDescent="0.2">
      <c r="G104" s="7"/>
    </row>
    <row r="105" spans="1:7" x14ac:dyDescent="0.2">
      <c r="G105" s="7"/>
    </row>
    <row r="106" spans="1:7" ht="13.5" thickBot="1" x14ac:dyDescent="0.25">
      <c r="G106" s="7"/>
    </row>
    <row r="107" spans="1:7" ht="13.5" thickBot="1" x14ac:dyDescent="0.25">
      <c r="A107" s="21" t="s">
        <v>86</v>
      </c>
      <c r="B107" s="22"/>
      <c r="C107" s="22"/>
      <c r="D107" s="23"/>
      <c r="E107" s="24"/>
      <c r="F107" s="20">
        <f>+F102+F88+F76+F63</f>
        <v>8860.0087543576174</v>
      </c>
      <c r="G107" s="7"/>
    </row>
    <row r="109" spans="1:7" x14ac:dyDescent="0.2">
      <c r="A109" s="9" t="s">
        <v>41</v>
      </c>
      <c r="G109" s="7"/>
    </row>
    <row r="110" spans="1:7" ht="11.25" customHeight="1" x14ac:dyDescent="0.2">
      <c r="G110" s="7"/>
    </row>
    <row r="111" spans="1:7" ht="13.9" customHeight="1" x14ac:dyDescent="0.2">
      <c r="A111" s="7" t="s">
        <v>187</v>
      </c>
      <c r="G111" s="7"/>
    </row>
    <row r="112" spans="1:7" ht="11.25" customHeight="1" thickBot="1" x14ac:dyDescent="0.25">
      <c r="G112" s="7"/>
    </row>
    <row r="113" spans="1:7" ht="27.75" customHeight="1" thickBot="1" x14ac:dyDescent="0.25">
      <c r="A113" s="54" t="s">
        <v>59</v>
      </c>
      <c r="B113" s="55" t="s">
        <v>60</v>
      </c>
      <c r="C113" s="247" t="s">
        <v>236</v>
      </c>
      <c r="D113" s="56" t="s">
        <v>221</v>
      </c>
      <c r="E113" s="56" t="s">
        <v>61</v>
      </c>
      <c r="F113" s="57" t="s">
        <v>62</v>
      </c>
      <c r="G113" s="7"/>
    </row>
    <row r="114" spans="1:7" x14ac:dyDescent="0.2">
      <c r="A114" s="11" t="s">
        <v>63</v>
      </c>
      <c r="B114" s="12" t="s">
        <v>9</v>
      </c>
      <c r="C114" s="89">
        <v>24</v>
      </c>
      <c r="D114" s="79">
        <v>82</v>
      </c>
      <c r="E114" s="13">
        <f>IFERROR(D114/C114,0)</f>
        <v>3.4166666666666665</v>
      </c>
      <c r="G114" s="7"/>
    </row>
    <row r="115" spans="1:7" ht="13.15" customHeight="1" x14ac:dyDescent="0.2">
      <c r="A115" s="291" t="s">
        <v>282</v>
      </c>
      <c r="B115" s="15" t="s">
        <v>9</v>
      </c>
      <c r="C115" s="89">
        <v>6</v>
      </c>
      <c r="D115" s="79">
        <v>43</v>
      </c>
      <c r="E115" s="13">
        <f t="shared" ref="E115:E122" si="0">IFERROR(D115/C115,0)</f>
        <v>7.166666666666667</v>
      </c>
      <c r="G115" s="7"/>
    </row>
    <row r="116" spans="1:7" x14ac:dyDescent="0.2">
      <c r="A116" s="291" t="s">
        <v>283</v>
      </c>
      <c r="B116" s="15" t="s">
        <v>9</v>
      </c>
      <c r="C116" s="89">
        <v>6</v>
      </c>
      <c r="D116" s="79">
        <v>29.5</v>
      </c>
      <c r="E116" s="13">
        <f t="shared" si="0"/>
        <v>4.916666666666667</v>
      </c>
      <c r="G116" s="7"/>
    </row>
    <row r="117" spans="1:7" ht="13.15" customHeight="1" x14ac:dyDescent="0.2">
      <c r="A117" s="14" t="s">
        <v>28</v>
      </c>
      <c r="B117" s="15" t="s">
        <v>9</v>
      </c>
      <c r="C117" s="89">
        <v>6</v>
      </c>
      <c r="D117" s="79">
        <v>19.989999999999998</v>
      </c>
      <c r="E117" s="13">
        <f t="shared" si="0"/>
        <v>3.3316666666666666</v>
      </c>
      <c r="G117" s="7"/>
    </row>
    <row r="118" spans="1:7" ht="13.9" customHeight="1" x14ac:dyDescent="0.2">
      <c r="A118" s="14" t="s">
        <v>65</v>
      </c>
      <c r="B118" s="15" t="s">
        <v>44</v>
      </c>
      <c r="C118" s="89">
        <v>6</v>
      </c>
      <c r="D118" s="79">
        <v>72</v>
      </c>
      <c r="E118" s="13">
        <f t="shared" si="0"/>
        <v>12</v>
      </c>
      <c r="G118" s="7"/>
    </row>
    <row r="119" spans="1:7" ht="13.15" customHeight="1" x14ac:dyDescent="0.2">
      <c r="A119" s="14" t="s">
        <v>87</v>
      </c>
      <c r="B119" s="15" t="s">
        <v>44</v>
      </c>
      <c r="C119" s="89">
        <v>2</v>
      </c>
      <c r="D119" s="79">
        <v>4.99</v>
      </c>
      <c r="E119" s="13">
        <f t="shared" si="0"/>
        <v>2.4950000000000001</v>
      </c>
    </row>
    <row r="120" spans="1:7" x14ac:dyDescent="0.2">
      <c r="A120" s="14" t="s">
        <v>64</v>
      </c>
      <c r="B120" s="15" t="s">
        <v>9</v>
      </c>
      <c r="C120" s="89">
        <v>6</v>
      </c>
      <c r="D120" s="79">
        <v>62.4</v>
      </c>
      <c r="E120" s="13">
        <f t="shared" si="0"/>
        <v>10.4</v>
      </c>
    </row>
    <row r="121" spans="1:7" x14ac:dyDescent="0.2">
      <c r="A121" s="14" t="s">
        <v>29</v>
      </c>
      <c r="B121" s="15" t="s">
        <v>44</v>
      </c>
      <c r="C121" s="89">
        <v>1</v>
      </c>
      <c r="D121" s="79">
        <v>11.03</v>
      </c>
      <c r="E121" s="13">
        <f t="shared" si="0"/>
        <v>11.03</v>
      </c>
    </row>
    <row r="122" spans="1:7" ht="13.15" customHeight="1" x14ac:dyDescent="0.2">
      <c r="A122" s="291" t="s">
        <v>284</v>
      </c>
      <c r="B122" s="15" t="s">
        <v>45</v>
      </c>
      <c r="C122" s="89">
        <v>1.26</v>
      </c>
      <c r="D122" s="79">
        <v>24.99</v>
      </c>
      <c r="E122" s="13">
        <f t="shared" si="0"/>
        <v>19.833333333333332</v>
      </c>
    </row>
    <row r="123" spans="1:7" ht="13.15" customHeight="1" x14ac:dyDescent="0.2">
      <c r="A123" s="291" t="s">
        <v>292</v>
      </c>
      <c r="B123" s="301" t="s">
        <v>293</v>
      </c>
      <c r="C123" s="89">
        <v>1</v>
      </c>
      <c r="D123" s="79">
        <v>8.52</v>
      </c>
      <c r="E123" s="13">
        <f>IFERROR(D123/C123,0)</f>
        <v>8.52</v>
      </c>
    </row>
    <row r="124" spans="1:7" ht="13.5" thickBot="1" x14ac:dyDescent="0.25">
      <c r="A124" s="14" t="s">
        <v>5</v>
      </c>
      <c r="B124" s="15" t="s">
        <v>6</v>
      </c>
      <c r="C124" s="299">
        <f>E37</f>
        <v>2</v>
      </c>
      <c r="D124" s="16">
        <f>+SUM(E114:E123)</f>
        <v>83.11</v>
      </c>
      <c r="E124" s="16">
        <f t="shared" ref="E124" si="1">C124*D124</f>
        <v>166.22</v>
      </c>
    </row>
    <row r="125" spans="1:7" ht="13.5" thickBot="1" x14ac:dyDescent="0.25">
      <c r="D125" s="110" t="s">
        <v>185</v>
      </c>
      <c r="E125" s="44">
        <f>$B$48</f>
        <v>0.55000000000000004</v>
      </c>
      <c r="F125" s="111">
        <f>E124*E125</f>
        <v>91.421000000000006</v>
      </c>
    </row>
    <row r="126" spans="1:7" ht="11.25" customHeight="1" x14ac:dyDescent="0.2"/>
    <row r="127" spans="1:7" ht="13.9" customHeight="1" x14ac:dyDescent="0.2">
      <c r="A127" s="7" t="s">
        <v>188</v>
      </c>
    </row>
    <row r="128" spans="1:7" ht="11.25" customHeight="1" thickBot="1" x14ac:dyDescent="0.25"/>
    <row r="129" spans="1:7" ht="24.75" thickBot="1" x14ac:dyDescent="0.25">
      <c r="A129" s="54" t="s">
        <v>59</v>
      </c>
      <c r="B129" s="55" t="s">
        <v>60</v>
      </c>
      <c r="C129" s="247" t="s">
        <v>236</v>
      </c>
      <c r="D129" s="56" t="s">
        <v>221</v>
      </c>
      <c r="E129" s="56" t="s">
        <v>61</v>
      </c>
      <c r="F129" s="57" t="s">
        <v>62</v>
      </c>
    </row>
    <row r="130" spans="1:7" x14ac:dyDescent="0.2">
      <c r="A130" s="11" t="s">
        <v>63</v>
      </c>
      <c r="B130" s="12" t="s">
        <v>9</v>
      </c>
      <c r="C130" s="89">
        <v>48</v>
      </c>
      <c r="D130" s="13">
        <f>+D114</f>
        <v>82</v>
      </c>
      <c r="E130" s="13">
        <f>IFERROR(D130/C130,0)</f>
        <v>1.7083333333333333</v>
      </c>
    </row>
    <row r="131" spans="1:7" x14ac:dyDescent="0.2">
      <c r="A131" s="14" t="s">
        <v>26</v>
      </c>
      <c r="B131" s="15" t="s">
        <v>9</v>
      </c>
      <c r="C131" s="89">
        <v>12</v>
      </c>
      <c r="D131" s="16">
        <f>+D115</f>
        <v>43</v>
      </c>
      <c r="E131" s="13">
        <f t="shared" ref="E131:E135" si="2">IFERROR(D131/C131,0)</f>
        <v>3.5833333333333335</v>
      </c>
    </row>
    <row r="132" spans="1:7" x14ac:dyDescent="0.2">
      <c r="A132" s="14" t="s">
        <v>27</v>
      </c>
      <c r="B132" s="15" t="s">
        <v>9</v>
      </c>
      <c r="C132" s="89">
        <v>12</v>
      </c>
      <c r="D132" s="16">
        <f>+D116</f>
        <v>29.5</v>
      </c>
      <c r="E132" s="13">
        <f t="shared" si="2"/>
        <v>2.4583333333333335</v>
      </c>
    </row>
    <row r="133" spans="1:7" x14ac:dyDescent="0.2">
      <c r="A133" s="14" t="s">
        <v>65</v>
      </c>
      <c r="B133" s="15" t="s">
        <v>44</v>
      </c>
      <c r="C133" s="89">
        <v>12</v>
      </c>
      <c r="D133" s="16">
        <f>+D118</f>
        <v>72</v>
      </c>
      <c r="E133" s="13">
        <f t="shared" si="2"/>
        <v>6</v>
      </c>
    </row>
    <row r="134" spans="1:7" x14ac:dyDescent="0.2">
      <c r="A134" s="14" t="s">
        <v>64</v>
      </c>
      <c r="B134" s="15" t="s">
        <v>9</v>
      </c>
      <c r="C134" s="89">
        <v>12</v>
      </c>
      <c r="D134" s="16">
        <f>+D120</f>
        <v>62.4</v>
      </c>
      <c r="E134" s="13">
        <f t="shared" si="2"/>
        <v>5.2</v>
      </c>
      <c r="G134" s="7"/>
    </row>
    <row r="135" spans="1:7" x14ac:dyDescent="0.2">
      <c r="A135" s="291" t="s">
        <v>284</v>
      </c>
      <c r="B135" s="15" t="s">
        <v>45</v>
      </c>
      <c r="C135" s="89">
        <v>3</v>
      </c>
      <c r="D135" s="16">
        <f>+D122</f>
        <v>24.99</v>
      </c>
      <c r="E135" s="13">
        <f t="shared" si="2"/>
        <v>8.33</v>
      </c>
      <c r="G135" s="7"/>
    </row>
    <row r="136" spans="1:7" x14ac:dyDescent="0.2">
      <c r="A136" s="291" t="s">
        <v>292</v>
      </c>
      <c r="B136" s="301" t="s">
        <v>293</v>
      </c>
      <c r="C136" s="89">
        <v>1</v>
      </c>
      <c r="D136" s="16">
        <f>+D123</f>
        <v>8.52</v>
      </c>
      <c r="E136" s="13">
        <f>IFERROR(D123/C123,0)</f>
        <v>8.52</v>
      </c>
      <c r="G136" s="7"/>
    </row>
    <row r="137" spans="1:7" ht="13.5" thickBot="1" x14ac:dyDescent="0.25">
      <c r="A137" s="14" t="s">
        <v>5</v>
      </c>
      <c r="B137" s="15" t="s">
        <v>6</v>
      </c>
      <c r="C137" s="62">
        <f>E39</f>
        <v>1</v>
      </c>
      <c r="D137" s="16">
        <f>+SUM(E130:E136)</f>
        <v>35.799999999999997</v>
      </c>
      <c r="E137" s="16">
        <f t="shared" ref="E137" si="3">C137*D137</f>
        <v>35.799999999999997</v>
      </c>
      <c r="G137" s="7"/>
    </row>
    <row r="138" spans="1:7" ht="13.5" thickBot="1" x14ac:dyDescent="0.25">
      <c r="D138" s="110" t="s">
        <v>185</v>
      </c>
      <c r="E138" s="44">
        <f>$B$48</f>
        <v>0.55000000000000004</v>
      </c>
      <c r="F138" s="111">
        <f>E137*E138</f>
        <v>19.690000000000001</v>
      </c>
      <c r="G138" s="7"/>
    </row>
    <row r="139" spans="1:7" ht="11.25" customHeight="1" thickBot="1" x14ac:dyDescent="0.25">
      <c r="G139" s="7"/>
    </row>
    <row r="140" spans="1:7" ht="13.5" thickBot="1" x14ac:dyDescent="0.25">
      <c r="A140" s="21" t="s">
        <v>189</v>
      </c>
      <c r="B140" s="25"/>
      <c r="C140" s="25"/>
      <c r="D140" s="26"/>
      <c r="E140" s="27"/>
      <c r="F140" s="19">
        <f>+F125+F138</f>
        <v>111.111</v>
      </c>
      <c r="G140" s="7"/>
    </row>
    <row r="141" spans="1:7" ht="11.25" customHeight="1" x14ac:dyDescent="0.2">
      <c r="G141" s="7"/>
    </row>
    <row r="142" spans="1:7" x14ac:dyDescent="0.2">
      <c r="A142" s="9" t="s">
        <v>50</v>
      </c>
      <c r="G142" s="7"/>
    </row>
    <row r="143" spans="1:7" ht="11.25" customHeight="1" x14ac:dyDescent="0.2">
      <c r="B143" s="94"/>
      <c r="G143" s="7"/>
    </row>
    <row r="144" spans="1:7" x14ac:dyDescent="0.2">
      <c r="A144" s="9" t="s">
        <v>289</v>
      </c>
      <c r="G144" s="7"/>
    </row>
    <row r="145" spans="1:10" ht="11.25" customHeight="1" x14ac:dyDescent="0.2">
      <c r="G145" s="7"/>
    </row>
    <row r="146" spans="1:10" ht="13.5" thickBot="1" x14ac:dyDescent="0.25">
      <c r="A146" s="94" t="s">
        <v>42</v>
      </c>
      <c r="G146" s="7"/>
    </row>
    <row r="147" spans="1:10" ht="13.5" thickBot="1" x14ac:dyDescent="0.25">
      <c r="A147" s="54" t="s">
        <v>59</v>
      </c>
      <c r="B147" s="55" t="s">
        <v>60</v>
      </c>
      <c r="C147" s="55" t="s">
        <v>37</v>
      </c>
      <c r="D147" s="56" t="s">
        <v>221</v>
      </c>
      <c r="E147" s="56" t="s">
        <v>61</v>
      </c>
      <c r="F147" s="57" t="s">
        <v>62</v>
      </c>
      <c r="G147" s="7"/>
    </row>
    <row r="148" spans="1:10" x14ac:dyDescent="0.2">
      <c r="A148" s="11" t="s">
        <v>99</v>
      </c>
      <c r="B148" s="12" t="s">
        <v>9</v>
      </c>
      <c r="C148" s="253">
        <v>1</v>
      </c>
      <c r="D148" s="79">
        <v>318070</v>
      </c>
      <c r="E148" s="13">
        <f>C148*D148</f>
        <v>318070</v>
      </c>
      <c r="G148" s="7"/>
    </row>
    <row r="149" spans="1:10" x14ac:dyDescent="0.2">
      <c r="A149" s="14" t="s">
        <v>93</v>
      </c>
      <c r="B149" s="15" t="s">
        <v>94</v>
      </c>
      <c r="C149" s="78">
        <v>10</v>
      </c>
      <c r="D149" s="75"/>
      <c r="E149" s="16"/>
      <c r="G149" s="7"/>
    </row>
    <row r="150" spans="1:10" x14ac:dyDescent="0.2">
      <c r="A150" s="14" t="s">
        <v>196</v>
      </c>
      <c r="B150" s="15" t="s">
        <v>94</v>
      </c>
      <c r="C150" s="78">
        <v>0</v>
      </c>
      <c r="D150" s="16"/>
      <c r="E150" s="16"/>
      <c r="F150" s="18"/>
      <c r="I150" s="77"/>
      <c r="J150" s="77"/>
    </row>
    <row r="151" spans="1:10" x14ac:dyDescent="0.2">
      <c r="A151" s="14" t="s">
        <v>97</v>
      </c>
      <c r="B151" s="15" t="s">
        <v>2</v>
      </c>
      <c r="C151" s="127">
        <f>IFERROR(VLOOKUP(C149,'5. Depreciação'!A3:B17,2,FALSE),0)</f>
        <v>65.180000000000007</v>
      </c>
      <c r="D151" s="16">
        <f>E148</f>
        <v>318070</v>
      </c>
      <c r="E151" s="16">
        <f>C151*D151/100</f>
        <v>207318.02600000001</v>
      </c>
    </row>
    <row r="152" spans="1:10" ht="13.5" thickBot="1" x14ac:dyDescent="0.25">
      <c r="A152" s="256" t="s">
        <v>46</v>
      </c>
      <c r="B152" s="257" t="s">
        <v>8</v>
      </c>
      <c r="C152" s="257">
        <f>C149*12</f>
        <v>120</v>
      </c>
      <c r="D152" s="258">
        <f>IF(C150&lt;=C149,E151,0)</f>
        <v>207318.02600000001</v>
      </c>
      <c r="E152" s="258">
        <f>IFERROR(D152/C152,0)</f>
        <v>1727.6502166666667</v>
      </c>
    </row>
    <row r="153" spans="1:10" ht="13.5" thickTop="1" x14ac:dyDescent="0.2">
      <c r="A153" s="11" t="s">
        <v>98</v>
      </c>
      <c r="B153" s="12" t="s">
        <v>9</v>
      </c>
      <c r="C153" s="12">
        <f>C148</f>
        <v>1</v>
      </c>
      <c r="D153" s="79">
        <v>169133.33</v>
      </c>
      <c r="E153" s="13">
        <f>C153*D153</f>
        <v>169133.33</v>
      </c>
      <c r="G153" s="7"/>
    </row>
    <row r="154" spans="1:10" x14ac:dyDescent="0.2">
      <c r="A154" s="14" t="s">
        <v>95</v>
      </c>
      <c r="B154" s="15" t="s">
        <v>94</v>
      </c>
      <c r="C154" s="78">
        <v>10</v>
      </c>
      <c r="D154" s="16"/>
      <c r="E154" s="16"/>
    </row>
    <row r="155" spans="1:10" x14ac:dyDescent="0.2">
      <c r="A155" s="14" t="s">
        <v>197</v>
      </c>
      <c r="B155" s="15" t="s">
        <v>94</v>
      </c>
      <c r="C155" s="78">
        <v>0</v>
      </c>
      <c r="D155" s="16"/>
      <c r="E155" s="16"/>
      <c r="F155" s="18"/>
      <c r="I155" s="77"/>
      <c r="J155" s="77"/>
    </row>
    <row r="156" spans="1:10" x14ac:dyDescent="0.2">
      <c r="A156" s="14" t="s">
        <v>96</v>
      </c>
      <c r="B156" s="15" t="s">
        <v>2</v>
      </c>
      <c r="C156" s="128">
        <f>IFERROR(VLOOKUP(C154,'5. Depreciação'!A3:B17,2,FALSE),0)</f>
        <v>65.180000000000007</v>
      </c>
      <c r="D156" s="16">
        <f>E153</f>
        <v>169133.33</v>
      </c>
      <c r="E156" s="16">
        <f>C156*D156/100</f>
        <v>110241.104494</v>
      </c>
    </row>
    <row r="157" spans="1:10" x14ac:dyDescent="0.2">
      <c r="A157" s="90" t="s">
        <v>100</v>
      </c>
      <c r="B157" s="91" t="s">
        <v>8</v>
      </c>
      <c r="C157" s="91">
        <f>C154*12</f>
        <v>120</v>
      </c>
      <c r="D157" s="92">
        <f>IF(C155&lt;=C154,E156,0)</f>
        <v>110241.104494</v>
      </c>
      <c r="E157" s="92">
        <f>IFERROR(D157/C157,0)</f>
        <v>918.67587078333338</v>
      </c>
    </row>
    <row r="158" spans="1:10" x14ac:dyDescent="0.2">
      <c r="A158" s="104" t="s">
        <v>239</v>
      </c>
      <c r="B158" s="105"/>
      <c r="C158" s="105"/>
      <c r="D158" s="106"/>
      <c r="E158" s="107">
        <f>E152+E157</f>
        <v>2646.3260874500002</v>
      </c>
    </row>
    <row r="159" spans="1:10" x14ac:dyDescent="0.2">
      <c r="A159" s="90" t="s">
        <v>240</v>
      </c>
      <c r="B159" s="91" t="s">
        <v>9</v>
      </c>
      <c r="C159" s="78">
        <v>1</v>
      </c>
      <c r="D159" s="92">
        <f>E158</f>
        <v>2646.3260874500002</v>
      </c>
      <c r="E159" s="107">
        <f>C159*D159</f>
        <v>2646.3260874500002</v>
      </c>
    </row>
    <row r="160" spans="1:10" ht="39" thickBot="1" x14ac:dyDescent="0.25">
      <c r="A160" s="300" t="s">
        <v>294</v>
      </c>
      <c r="B160" s="293" t="s">
        <v>2</v>
      </c>
      <c r="C160" s="294">
        <v>10</v>
      </c>
      <c r="D160" s="28">
        <f>D159</f>
        <v>2646.3260874500002</v>
      </c>
      <c r="E160" s="107">
        <f>D160*(C160/100)</f>
        <v>264.63260874500003</v>
      </c>
    </row>
    <row r="161" spans="1:10" ht="13.5" thickBot="1" x14ac:dyDescent="0.25">
      <c r="A161" s="252"/>
      <c r="B161" s="252"/>
      <c r="C161" s="252"/>
      <c r="D161" s="110" t="s">
        <v>185</v>
      </c>
      <c r="E161" s="44">
        <f>$B$48</f>
        <v>0.55000000000000004</v>
      </c>
      <c r="F161" s="19">
        <f>(E159+E160)*E161</f>
        <v>1601.0272829072503</v>
      </c>
    </row>
    <row r="162" spans="1:10" ht="11.25" customHeight="1" x14ac:dyDescent="0.2"/>
    <row r="163" spans="1:10" ht="13.5" thickBot="1" x14ac:dyDescent="0.25">
      <c r="A163" s="94" t="s">
        <v>105</v>
      </c>
    </row>
    <row r="164" spans="1:10" ht="13.5" thickBot="1" x14ac:dyDescent="0.25">
      <c r="A164" s="96" t="s">
        <v>59</v>
      </c>
      <c r="B164" s="97" t="s">
        <v>60</v>
      </c>
      <c r="C164" s="97" t="s">
        <v>37</v>
      </c>
      <c r="D164" s="56" t="s">
        <v>221</v>
      </c>
      <c r="E164" s="98" t="s">
        <v>61</v>
      </c>
      <c r="F164" s="57" t="s">
        <v>62</v>
      </c>
      <c r="I164" s="77"/>
      <c r="J164" s="77"/>
    </row>
    <row r="165" spans="1:10" x14ac:dyDescent="0.2">
      <c r="A165" s="14" t="s">
        <v>103</v>
      </c>
      <c r="B165" s="15" t="s">
        <v>9</v>
      </c>
      <c r="C165" s="253">
        <v>1</v>
      </c>
      <c r="D165" s="16">
        <f>D148</f>
        <v>318070</v>
      </c>
      <c r="E165" s="16">
        <f>C165*D165</f>
        <v>318070</v>
      </c>
      <c r="F165" s="18"/>
      <c r="I165" s="77"/>
      <c r="J165" s="77"/>
    </row>
    <row r="166" spans="1:10" x14ac:dyDescent="0.2">
      <c r="A166" s="14" t="s">
        <v>200</v>
      </c>
      <c r="B166" s="15" t="s">
        <v>2</v>
      </c>
      <c r="C166" s="78">
        <v>2.75</v>
      </c>
      <c r="D166" s="16"/>
      <c r="E166" s="16"/>
      <c r="F166" s="18"/>
      <c r="I166" s="77"/>
      <c r="J166" s="77"/>
    </row>
    <row r="167" spans="1:10" x14ac:dyDescent="0.2">
      <c r="A167" s="14" t="s">
        <v>198</v>
      </c>
      <c r="B167" s="15" t="s">
        <v>30</v>
      </c>
      <c r="C167" s="135">
        <f>IFERROR(IF(C150&lt;=C149,E148-(C151/(100*C149)*C150)*E148,E148-E151),0)</f>
        <v>318070</v>
      </c>
      <c r="D167" s="16"/>
      <c r="E167" s="16"/>
      <c r="F167" s="18"/>
      <c r="I167" s="77"/>
      <c r="J167" s="77"/>
    </row>
    <row r="168" spans="1:10" x14ac:dyDescent="0.2">
      <c r="A168" s="14" t="s">
        <v>108</v>
      </c>
      <c r="B168" s="15" t="s">
        <v>30</v>
      </c>
      <c r="C168" s="75">
        <f>IFERROR(IF(C150&gt;=C149,C167,((((C167)-(E148-E151))*(((C149-C150)+1)/(2*(C149-C150))))+(E148-E151))),0)</f>
        <v>224776.88829999999</v>
      </c>
      <c r="D168" s="16"/>
      <c r="E168" s="16"/>
      <c r="F168" s="18"/>
      <c r="I168" s="77"/>
      <c r="J168" s="77"/>
    </row>
    <row r="169" spans="1:10" ht="13.5" thickBot="1" x14ac:dyDescent="0.25">
      <c r="A169" s="256" t="s">
        <v>109</v>
      </c>
      <c r="B169" s="257" t="s">
        <v>30</v>
      </c>
      <c r="C169" s="257"/>
      <c r="D169" s="259">
        <f>C166*C168/12/100</f>
        <v>515.11370235416666</v>
      </c>
      <c r="E169" s="258">
        <f>D169</f>
        <v>515.11370235416666</v>
      </c>
      <c r="F169" s="18"/>
      <c r="I169" s="77"/>
      <c r="J169" s="77"/>
    </row>
    <row r="170" spans="1:10" ht="13.5" thickTop="1" x14ac:dyDescent="0.2">
      <c r="A170" s="11" t="s">
        <v>104</v>
      </c>
      <c r="B170" s="12" t="s">
        <v>9</v>
      </c>
      <c r="C170" s="12">
        <f>C153</f>
        <v>1</v>
      </c>
      <c r="D170" s="13"/>
      <c r="E170" s="13">
        <f>C170*D170</f>
        <v>0</v>
      </c>
      <c r="F170" s="18"/>
      <c r="I170" s="77"/>
      <c r="J170" s="77"/>
    </row>
    <row r="171" spans="1:10" x14ac:dyDescent="0.2">
      <c r="A171" s="14" t="s">
        <v>200</v>
      </c>
      <c r="B171" s="15" t="s">
        <v>2</v>
      </c>
      <c r="C171" s="254">
        <f>C166</f>
        <v>2.75</v>
      </c>
      <c r="D171" s="16"/>
      <c r="E171" s="16"/>
      <c r="F171" s="18"/>
      <c r="I171" s="77"/>
      <c r="J171" s="77"/>
    </row>
    <row r="172" spans="1:10" x14ac:dyDescent="0.2">
      <c r="A172" s="14" t="s">
        <v>199</v>
      </c>
      <c r="B172" s="15" t="s">
        <v>30</v>
      </c>
      <c r="C172" s="135">
        <f>IFERROR(IF(C155&lt;=C154,E153-(C156/(100*C154)*C155)*E153,E153-E156),0)</f>
        <v>169133.33</v>
      </c>
      <c r="D172" s="16"/>
      <c r="E172" s="16"/>
      <c r="F172" s="18"/>
      <c r="I172" s="77"/>
      <c r="J172" s="77"/>
    </row>
    <row r="173" spans="1:10" x14ac:dyDescent="0.2">
      <c r="A173" s="14" t="s">
        <v>110</v>
      </c>
      <c r="B173" s="15" t="s">
        <v>30</v>
      </c>
      <c r="C173" s="75">
        <f>IFERROR(IF(C155&gt;=C154,C172,((((C172)-(E153-E156))*(((C154-C155)+1)/(2*(C154-C155))))+(E153-E156))),0)</f>
        <v>119524.83297769999</v>
      </c>
      <c r="D173" s="16"/>
      <c r="E173" s="16"/>
      <c r="F173" s="18"/>
      <c r="I173" s="77"/>
      <c r="J173" s="77"/>
    </row>
    <row r="174" spans="1:10" x14ac:dyDescent="0.2">
      <c r="A174" s="90" t="s">
        <v>107</v>
      </c>
      <c r="B174" s="91" t="s">
        <v>30</v>
      </c>
      <c r="C174" s="91"/>
      <c r="D174" s="100">
        <f>C171*C173/12/100</f>
        <v>273.9110755738958</v>
      </c>
      <c r="E174" s="92">
        <f>D174</f>
        <v>273.9110755738958</v>
      </c>
      <c r="F174" s="18"/>
      <c r="I174" s="77"/>
      <c r="J174" s="77"/>
    </row>
    <row r="175" spans="1:10" x14ac:dyDescent="0.2">
      <c r="A175" s="104" t="s">
        <v>239</v>
      </c>
      <c r="B175" s="105"/>
      <c r="C175" s="105"/>
      <c r="D175" s="106"/>
      <c r="E175" s="107">
        <f>E169+E174</f>
        <v>789.02477792806246</v>
      </c>
      <c r="F175" s="18"/>
      <c r="I175" s="77"/>
      <c r="J175" s="77"/>
    </row>
    <row r="176" spans="1:10" x14ac:dyDescent="0.2">
      <c r="A176" s="90" t="s">
        <v>240</v>
      </c>
      <c r="B176" s="91" t="s">
        <v>9</v>
      </c>
      <c r="C176" s="254">
        <f>C159</f>
        <v>1</v>
      </c>
      <c r="D176" s="92">
        <f>E175</f>
        <v>789.02477792806246</v>
      </c>
      <c r="E176" s="107">
        <f>C176*D176</f>
        <v>789.02477792806246</v>
      </c>
      <c r="F176" s="18"/>
      <c r="I176" s="77"/>
      <c r="J176" s="77"/>
    </row>
    <row r="177" spans="1:10" ht="39" thickBot="1" x14ac:dyDescent="0.25">
      <c r="A177" s="300" t="s">
        <v>286</v>
      </c>
      <c r="B177" s="293" t="s">
        <v>2</v>
      </c>
      <c r="C177" s="294">
        <v>10</v>
      </c>
      <c r="D177" s="28">
        <f>D176</f>
        <v>789.02477792806246</v>
      </c>
      <c r="E177" s="107">
        <f>D177*(C177/100)</f>
        <v>78.902477792806252</v>
      </c>
      <c r="F177" s="18"/>
      <c r="I177" s="77"/>
      <c r="J177" s="77"/>
    </row>
    <row r="178" spans="1:10" ht="13.5" thickBot="1" x14ac:dyDescent="0.25">
      <c r="C178" s="17"/>
      <c r="D178" s="110" t="s">
        <v>185</v>
      </c>
      <c r="E178" s="44">
        <f>$B$48</f>
        <v>0.55000000000000004</v>
      </c>
      <c r="F178" s="19">
        <f>(E176+E177)*E178</f>
        <v>477.35999064647785</v>
      </c>
      <c r="G178" s="292"/>
      <c r="I178" s="77"/>
      <c r="J178" s="77"/>
    </row>
    <row r="179" spans="1:10" ht="11.25" customHeight="1" x14ac:dyDescent="0.2">
      <c r="I179" s="77"/>
      <c r="J179" s="77"/>
    </row>
    <row r="180" spans="1:10" ht="13.5" thickBot="1" x14ac:dyDescent="0.25">
      <c r="A180" s="7" t="s">
        <v>47</v>
      </c>
      <c r="I180" s="77"/>
      <c r="J180" s="77"/>
    </row>
    <row r="181" spans="1:10" ht="13.5" thickBot="1" x14ac:dyDescent="0.25">
      <c r="A181" s="54" t="s">
        <v>59</v>
      </c>
      <c r="B181" s="55" t="s">
        <v>60</v>
      </c>
      <c r="C181" s="55" t="s">
        <v>37</v>
      </c>
      <c r="D181" s="56" t="s">
        <v>221</v>
      </c>
      <c r="E181" s="56" t="s">
        <v>61</v>
      </c>
      <c r="F181" s="57" t="s">
        <v>62</v>
      </c>
      <c r="I181" s="77"/>
      <c r="J181" s="77"/>
    </row>
    <row r="182" spans="1:10" x14ac:dyDescent="0.2">
      <c r="A182" s="11" t="s">
        <v>10</v>
      </c>
      <c r="B182" s="12" t="s">
        <v>9</v>
      </c>
      <c r="C182" s="13">
        <f>C159</f>
        <v>1</v>
      </c>
      <c r="D182" s="13">
        <f>0.01*($E$148)</f>
        <v>3180.7000000000003</v>
      </c>
      <c r="E182" s="13">
        <f>C182*D182</f>
        <v>3180.7000000000003</v>
      </c>
      <c r="I182" s="77"/>
      <c r="J182" s="77"/>
    </row>
    <row r="183" spans="1:10" x14ac:dyDescent="0.2">
      <c r="A183" s="14" t="s">
        <v>184</v>
      </c>
      <c r="B183" s="15" t="s">
        <v>9</v>
      </c>
      <c r="C183" s="13">
        <f>C159</f>
        <v>1</v>
      </c>
      <c r="D183" s="81">
        <v>85.23</v>
      </c>
      <c r="E183" s="16">
        <f>C183*D183</f>
        <v>85.23</v>
      </c>
      <c r="I183" s="77"/>
      <c r="J183" s="77"/>
    </row>
    <row r="184" spans="1:10" x14ac:dyDescent="0.2">
      <c r="A184" s="14" t="s">
        <v>11</v>
      </c>
      <c r="B184" s="15" t="s">
        <v>9</v>
      </c>
      <c r="C184" s="13">
        <f>C159</f>
        <v>1</v>
      </c>
      <c r="D184" s="81">
        <v>2898.12</v>
      </c>
      <c r="E184" s="16">
        <f>C184*D184</f>
        <v>2898.12</v>
      </c>
      <c r="F184" s="28"/>
      <c r="I184" s="77"/>
      <c r="J184" s="77"/>
    </row>
    <row r="185" spans="1:10" ht="13.5" thickBot="1" x14ac:dyDescent="0.25">
      <c r="A185" s="90" t="s">
        <v>12</v>
      </c>
      <c r="B185" s="91" t="s">
        <v>8</v>
      </c>
      <c r="C185" s="91">
        <v>12</v>
      </c>
      <c r="D185" s="92">
        <f>SUM(E182:E184)</f>
        <v>6164.05</v>
      </c>
      <c r="E185" s="92">
        <f>D185/C185</f>
        <v>513.67083333333335</v>
      </c>
      <c r="I185" s="77"/>
      <c r="J185" s="77"/>
    </row>
    <row r="186" spans="1:10" ht="13.5" thickBot="1" x14ac:dyDescent="0.25">
      <c r="D186" s="110" t="s">
        <v>185</v>
      </c>
      <c r="E186" s="44">
        <f>$B$48</f>
        <v>0.55000000000000004</v>
      </c>
      <c r="F186" s="111">
        <f>E185*E186</f>
        <v>282.51895833333339</v>
      </c>
      <c r="I186" s="77"/>
      <c r="J186" s="77"/>
    </row>
    <row r="187" spans="1:10" ht="11.25" customHeight="1" x14ac:dyDescent="0.2">
      <c r="I187" s="77"/>
      <c r="J187" s="77"/>
    </row>
    <row r="188" spans="1:10" x14ac:dyDescent="0.2">
      <c r="A188" s="7" t="s">
        <v>48</v>
      </c>
      <c r="B188" s="29"/>
      <c r="I188" s="77"/>
      <c r="J188" s="77"/>
    </row>
    <row r="189" spans="1:10" x14ac:dyDescent="0.2">
      <c r="B189" s="29"/>
      <c r="I189" s="77"/>
      <c r="J189" s="77"/>
    </row>
    <row r="190" spans="1:10" x14ac:dyDescent="0.2">
      <c r="A190" s="90" t="s">
        <v>112</v>
      </c>
      <c r="B190" s="101">
        <v>859.5</v>
      </c>
      <c r="I190" s="77"/>
      <c r="J190" s="77"/>
    </row>
    <row r="191" spans="1:10" ht="13.5" thickBot="1" x14ac:dyDescent="0.25">
      <c r="B191" s="29"/>
      <c r="I191" s="77"/>
      <c r="J191" s="77"/>
    </row>
    <row r="192" spans="1:10" ht="13.5" thickBot="1" x14ac:dyDescent="0.25">
      <c r="A192" s="54" t="s">
        <v>59</v>
      </c>
      <c r="B192" s="55" t="s">
        <v>60</v>
      </c>
      <c r="C192" s="55" t="s">
        <v>238</v>
      </c>
      <c r="D192" s="56" t="s">
        <v>221</v>
      </c>
      <c r="E192" s="56" t="s">
        <v>61</v>
      </c>
      <c r="F192" s="57" t="s">
        <v>62</v>
      </c>
      <c r="I192" s="77"/>
      <c r="J192" s="77"/>
    </row>
    <row r="193" spans="1:10" x14ac:dyDescent="0.2">
      <c r="A193" s="11" t="s">
        <v>13</v>
      </c>
      <c r="B193" s="12" t="s">
        <v>14</v>
      </c>
      <c r="C193" s="85">
        <v>2.09</v>
      </c>
      <c r="D193" s="86">
        <v>6.79</v>
      </c>
      <c r="E193" s="13"/>
      <c r="I193" s="77"/>
      <c r="J193" s="77"/>
    </row>
    <row r="194" spans="1:10" x14ac:dyDescent="0.2">
      <c r="A194" s="14" t="s">
        <v>15</v>
      </c>
      <c r="B194" s="15" t="s">
        <v>16</v>
      </c>
      <c r="C194" s="83">
        <f>B190</f>
        <v>859.5</v>
      </c>
      <c r="D194" s="251">
        <f>IFERROR(+D193/C193,"-")</f>
        <v>3.2488038277511966</v>
      </c>
      <c r="E194" s="16">
        <f>IFERROR(C194*D194,"-")</f>
        <v>2792.3468899521536</v>
      </c>
      <c r="I194" s="77"/>
      <c r="J194" s="77"/>
    </row>
    <row r="195" spans="1:10" x14ac:dyDescent="0.2">
      <c r="A195" s="14" t="s">
        <v>222</v>
      </c>
      <c r="B195" s="15" t="s">
        <v>17</v>
      </c>
      <c r="C195" s="88">
        <v>4</v>
      </c>
      <c r="D195" s="81">
        <v>22</v>
      </c>
      <c r="E195" s="16"/>
      <c r="G195" s="99"/>
      <c r="H195" s="46"/>
      <c r="I195" s="77"/>
      <c r="J195" s="77"/>
    </row>
    <row r="196" spans="1:10" x14ac:dyDescent="0.2">
      <c r="A196" s="14" t="s">
        <v>18</v>
      </c>
      <c r="B196" s="15" t="s">
        <v>16</v>
      </c>
      <c r="C196" s="83">
        <f>C194</f>
        <v>859.5</v>
      </c>
      <c r="D196" s="248">
        <f>+C195*D195/1000</f>
        <v>8.7999999999999995E-2</v>
      </c>
      <c r="E196" s="16">
        <f>C196*D196</f>
        <v>75.635999999999996</v>
      </c>
      <c r="G196" s="99"/>
      <c r="H196" s="46"/>
      <c r="I196" s="77"/>
      <c r="J196" s="77"/>
    </row>
    <row r="197" spans="1:10" x14ac:dyDescent="0.2">
      <c r="A197" s="14" t="s">
        <v>223</v>
      </c>
      <c r="B197" s="15" t="s">
        <v>17</v>
      </c>
      <c r="C197" s="88">
        <v>0.51</v>
      </c>
      <c r="D197" s="81">
        <v>370</v>
      </c>
      <c r="E197" s="16"/>
      <c r="G197" s="99"/>
      <c r="H197" s="46"/>
      <c r="I197" s="77"/>
      <c r="J197" s="77"/>
    </row>
    <row r="198" spans="1:10" x14ac:dyDescent="0.2">
      <c r="A198" s="14" t="s">
        <v>19</v>
      </c>
      <c r="B198" s="15" t="s">
        <v>16</v>
      </c>
      <c r="C198" s="83">
        <f>C194</f>
        <v>859.5</v>
      </c>
      <c r="D198" s="248">
        <f>+C197*D197/1000</f>
        <v>0.18870000000000001</v>
      </c>
      <c r="E198" s="16">
        <f>C198*D198</f>
        <v>162.18765000000002</v>
      </c>
      <c r="G198" s="99"/>
      <c r="H198" s="46"/>
      <c r="I198" s="77"/>
      <c r="J198" s="77"/>
    </row>
    <row r="199" spans="1:10" x14ac:dyDescent="0.2">
      <c r="A199" s="14" t="s">
        <v>224</v>
      </c>
      <c r="B199" s="15" t="s">
        <v>17</v>
      </c>
      <c r="C199" s="88">
        <v>0.9</v>
      </c>
      <c r="D199" s="81">
        <v>22</v>
      </c>
      <c r="E199" s="16"/>
      <c r="G199" s="99"/>
      <c r="H199" s="46"/>
      <c r="I199" s="77"/>
      <c r="J199" s="77"/>
    </row>
    <row r="200" spans="1:10" x14ac:dyDescent="0.2">
      <c r="A200" s="14" t="s">
        <v>20</v>
      </c>
      <c r="B200" s="15" t="s">
        <v>16</v>
      </c>
      <c r="C200" s="83">
        <f>C194</f>
        <v>859.5</v>
      </c>
      <c r="D200" s="248">
        <f>+C199*D199/1000</f>
        <v>1.9800000000000002E-2</v>
      </c>
      <c r="E200" s="16">
        <f>C200*D200</f>
        <v>17.0181</v>
      </c>
      <c r="G200" s="99"/>
      <c r="H200" s="46"/>
      <c r="I200" s="77"/>
      <c r="J200" s="77"/>
    </row>
    <row r="201" spans="1:10" x14ac:dyDescent="0.2">
      <c r="A201" s="291" t="s">
        <v>295</v>
      </c>
      <c r="B201" s="15" t="s">
        <v>21</v>
      </c>
      <c r="C201" s="88">
        <v>1</v>
      </c>
      <c r="D201" s="81">
        <v>18</v>
      </c>
      <c r="E201" s="16"/>
      <c r="G201" s="99"/>
      <c r="H201" s="46"/>
      <c r="I201" s="77"/>
      <c r="J201" s="77"/>
    </row>
    <row r="202" spans="1:10" x14ac:dyDescent="0.2">
      <c r="A202" s="14" t="s">
        <v>22</v>
      </c>
      <c r="B202" s="15" t="s">
        <v>16</v>
      </c>
      <c r="C202" s="83">
        <f>C194</f>
        <v>859.5</v>
      </c>
      <c r="D202" s="248">
        <f>+C201*D201/1000</f>
        <v>1.7999999999999999E-2</v>
      </c>
      <c r="E202" s="16">
        <f>C202*D202</f>
        <v>15.470999999999998</v>
      </c>
      <c r="G202" s="99"/>
      <c r="H202" s="46"/>
      <c r="I202" s="77"/>
      <c r="J202" s="77"/>
    </row>
    <row r="203" spans="1:10" ht="13.5" thickBot="1" x14ac:dyDescent="0.25">
      <c r="A203" s="90" t="s">
        <v>237</v>
      </c>
      <c r="B203" s="91" t="s">
        <v>113</v>
      </c>
      <c r="C203" s="249"/>
      <c r="D203" s="250">
        <f>IFERROR(D194+D196+D198+D200+D202,0)</f>
        <v>3.5633038277511964</v>
      </c>
      <c r="E203" s="16"/>
      <c r="G203" s="99"/>
      <c r="H203" s="46"/>
      <c r="I203" s="77"/>
      <c r="J203" s="77"/>
    </row>
    <row r="204" spans="1:10" ht="13.5" thickBot="1" x14ac:dyDescent="0.25">
      <c r="F204" s="19">
        <f>SUM(E193:E202)</f>
        <v>3062.6596399521532</v>
      </c>
      <c r="I204" s="77"/>
      <c r="J204" s="77"/>
    </row>
    <row r="205" spans="1:10" ht="11.25" customHeight="1" x14ac:dyDescent="0.2">
      <c r="I205" s="77"/>
      <c r="J205" s="77"/>
    </row>
    <row r="206" spans="1:10" ht="13.5" thickBot="1" x14ac:dyDescent="0.25">
      <c r="A206" s="7" t="s">
        <v>49</v>
      </c>
      <c r="I206" s="77"/>
      <c r="J206" s="77"/>
    </row>
    <row r="207" spans="1:10" ht="13.5" thickBot="1" x14ac:dyDescent="0.25">
      <c r="A207" s="54" t="s">
        <v>59</v>
      </c>
      <c r="B207" s="55" t="s">
        <v>60</v>
      </c>
      <c r="C207" s="55" t="s">
        <v>37</v>
      </c>
      <c r="D207" s="56" t="s">
        <v>221</v>
      </c>
      <c r="E207" s="56" t="s">
        <v>61</v>
      </c>
      <c r="F207" s="57" t="s">
        <v>62</v>
      </c>
      <c r="I207" s="77"/>
      <c r="J207" s="77"/>
    </row>
    <row r="208" spans="1:10" ht="13.5" thickBot="1" x14ac:dyDescent="0.25">
      <c r="A208" s="11" t="s">
        <v>111</v>
      </c>
      <c r="B208" s="12" t="s">
        <v>113</v>
      </c>
      <c r="C208" s="83">
        <f>C194</f>
        <v>859.5</v>
      </c>
      <c r="D208" s="79">
        <v>0.85</v>
      </c>
      <c r="E208" s="13">
        <f>C208*D208</f>
        <v>730.57499999999993</v>
      </c>
      <c r="I208" s="77"/>
      <c r="J208" s="77"/>
    </row>
    <row r="209" spans="1:10" ht="13.5" thickBot="1" x14ac:dyDescent="0.25">
      <c r="F209" s="19">
        <f>E208</f>
        <v>730.57499999999993</v>
      </c>
      <c r="I209" s="77"/>
      <c r="J209" s="77"/>
    </row>
    <row r="210" spans="1:10" ht="11.25" customHeight="1" x14ac:dyDescent="0.2">
      <c r="I210" s="77"/>
      <c r="J210" s="77"/>
    </row>
    <row r="211" spans="1:10" ht="13.5" thickBot="1" x14ac:dyDescent="0.25">
      <c r="A211" s="7" t="s">
        <v>58</v>
      </c>
      <c r="I211" s="77"/>
      <c r="J211" s="77"/>
    </row>
    <row r="212" spans="1:10" ht="13.5" thickBot="1" x14ac:dyDescent="0.25">
      <c r="A212" s="54" t="s">
        <v>59</v>
      </c>
      <c r="B212" s="55" t="s">
        <v>60</v>
      </c>
      <c r="C212" s="55" t="s">
        <v>37</v>
      </c>
      <c r="D212" s="56" t="s">
        <v>221</v>
      </c>
      <c r="E212" s="56" t="s">
        <v>61</v>
      </c>
      <c r="F212" s="57" t="s">
        <v>62</v>
      </c>
      <c r="I212" s="77"/>
      <c r="J212" s="77"/>
    </row>
    <row r="213" spans="1:10" x14ac:dyDescent="0.2">
      <c r="A213" s="283" t="s">
        <v>296</v>
      </c>
      <c r="B213" s="12" t="s">
        <v>9</v>
      </c>
      <c r="C213" s="84">
        <v>6</v>
      </c>
      <c r="D213" s="79">
        <v>2445</v>
      </c>
      <c r="E213" s="13">
        <f>C213*D213</f>
        <v>14670</v>
      </c>
      <c r="I213" s="77"/>
      <c r="J213" s="77"/>
    </row>
    <row r="214" spans="1:10" x14ac:dyDescent="0.2">
      <c r="A214" s="11" t="s">
        <v>114</v>
      </c>
      <c r="B214" s="12" t="s">
        <v>9</v>
      </c>
      <c r="C214" s="84">
        <v>2</v>
      </c>
      <c r="D214" s="93"/>
      <c r="E214" s="13"/>
      <c r="I214" s="77"/>
      <c r="J214" s="77"/>
    </row>
    <row r="215" spans="1:10" x14ac:dyDescent="0.2">
      <c r="A215" s="11" t="s">
        <v>66</v>
      </c>
      <c r="B215" s="12" t="s">
        <v>9</v>
      </c>
      <c r="C215" s="13">
        <f>C213*C214</f>
        <v>12</v>
      </c>
      <c r="D215" s="79">
        <v>650</v>
      </c>
      <c r="E215" s="13">
        <f>C215*D215</f>
        <v>7800</v>
      </c>
      <c r="I215" s="77"/>
      <c r="J215" s="77"/>
    </row>
    <row r="216" spans="1:10" x14ac:dyDescent="0.2">
      <c r="A216" s="291" t="s">
        <v>290</v>
      </c>
      <c r="B216" s="15" t="s">
        <v>23</v>
      </c>
      <c r="C216" s="87">
        <v>45000</v>
      </c>
      <c r="D216" s="16">
        <f>E213+E215</f>
        <v>22470</v>
      </c>
      <c r="E216" s="16">
        <f>IFERROR(D216/C216,"-")</f>
        <v>0.49933333333333335</v>
      </c>
      <c r="I216" s="77"/>
      <c r="J216" s="77"/>
    </row>
    <row r="217" spans="1:10" ht="13.5" thickBot="1" x14ac:dyDescent="0.25">
      <c r="A217" s="14" t="s">
        <v>51</v>
      </c>
      <c r="B217" s="15" t="s">
        <v>16</v>
      </c>
      <c r="C217" s="83">
        <f>B190</f>
        <v>859.5</v>
      </c>
      <c r="D217" s="16">
        <f>E216</f>
        <v>0.49933333333333335</v>
      </c>
      <c r="E217" s="16">
        <f>IFERROR(C217*D217,0)</f>
        <v>429.17700000000002</v>
      </c>
      <c r="I217" s="77"/>
      <c r="J217" s="77"/>
    </row>
    <row r="218" spans="1:10" ht="13.5" thickBot="1" x14ac:dyDescent="0.25">
      <c r="F218" s="19">
        <f>E217</f>
        <v>429.17700000000002</v>
      </c>
      <c r="I218" s="77"/>
      <c r="J218" s="77"/>
    </row>
    <row r="219" spans="1:10" ht="11.25" customHeight="1" x14ac:dyDescent="0.2">
      <c r="I219" s="77"/>
      <c r="J219" s="77"/>
    </row>
    <row r="220" spans="1:10" ht="11.25" customHeight="1" thickBot="1" x14ac:dyDescent="0.25">
      <c r="G220" s="7"/>
    </row>
    <row r="221" spans="1:10" ht="13.5" thickBot="1" x14ac:dyDescent="0.25">
      <c r="A221" s="21" t="s">
        <v>312</v>
      </c>
      <c r="B221" s="22"/>
      <c r="C221" s="22"/>
      <c r="D221" s="23"/>
      <c r="E221" s="24"/>
      <c r="F221" s="19">
        <f>+SUM(F148:F220)</f>
        <v>6583.3178718392146</v>
      </c>
      <c r="G221" s="7"/>
    </row>
    <row r="222" spans="1:10" x14ac:dyDescent="0.2">
      <c r="A222" s="31"/>
      <c r="B222" s="31"/>
      <c r="C222" s="31"/>
      <c r="D222" s="32"/>
      <c r="E222" s="32"/>
      <c r="F222" s="303"/>
      <c r="G222" s="7"/>
    </row>
    <row r="223" spans="1:10" ht="11.25" customHeight="1" x14ac:dyDescent="0.2">
      <c r="A223" s="9" t="s">
        <v>300</v>
      </c>
      <c r="G223" s="7"/>
    </row>
    <row r="224" spans="1:10" x14ac:dyDescent="0.2">
      <c r="G224" s="7"/>
    </row>
    <row r="225" spans="1:7" ht="11.25" customHeight="1" thickBot="1" x14ac:dyDescent="0.25">
      <c r="A225" s="94" t="s">
        <v>301</v>
      </c>
      <c r="G225" s="7"/>
    </row>
    <row r="226" spans="1:7" ht="13.5" thickBot="1" x14ac:dyDescent="0.25">
      <c r="A226" s="54" t="s">
        <v>59</v>
      </c>
      <c r="B226" s="55" t="s">
        <v>60</v>
      </c>
      <c r="C226" s="55" t="s">
        <v>37</v>
      </c>
      <c r="D226" s="56" t="s">
        <v>221</v>
      </c>
      <c r="E226" s="56" t="s">
        <v>61</v>
      </c>
      <c r="F226" s="57" t="s">
        <v>62</v>
      </c>
      <c r="G226" s="7"/>
    </row>
    <row r="227" spans="1:7" x14ac:dyDescent="0.2">
      <c r="A227" s="11" t="s">
        <v>99</v>
      </c>
      <c r="B227" s="12" t="s">
        <v>9</v>
      </c>
      <c r="C227" s="253">
        <v>1</v>
      </c>
      <c r="D227" s="79">
        <v>230000</v>
      </c>
      <c r="E227" s="13">
        <f>C227*D227</f>
        <v>230000</v>
      </c>
      <c r="G227" s="7"/>
    </row>
    <row r="228" spans="1:7" x14ac:dyDescent="0.2">
      <c r="A228" s="14" t="s">
        <v>93</v>
      </c>
      <c r="B228" s="15" t="s">
        <v>94</v>
      </c>
      <c r="C228" s="78">
        <v>10</v>
      </c>
      <c r="D228" s="75"/>
      <c r="E228" s="16"/>
      <c r="G228" s="7"/>
    </row>
    <row r="229" spans="1:7" x14ac:dyDescent="0.2">
      <c r="A229" s="14" t="s">
        <v>196</v>
      </c>
      <c r="B229" s="15" t="s">
        <v>94</v>
      </c>
      <c r="C229" s="78">
        <v>10</v>
      </c>
      <c r="D229" s="16"/>
      <c r="E229" s="16"/>
      <c r="F229" s="18"/>
      <c r="G229" s="7"/>
    </row>
    <row r="230" spans="1:7" x14ac:dyDescent="0.2">
      <c r="A230" s="14" t="s">
        <v>97</v>
      </c>
      <c r="B230" s="15" t="s">
        <v>2</v>
      </c>
      <c r="C230" s="127">
        <v>65.180000000000007</v>
      </c>
      <c r="D230" s="16">
        <f>E227</f>
        <v>230000</v>
      </c>
      <c r="E230" s="16">
        <f>C230*D230/100</f>
        <v>149914.00000000003</v>
      </c>
      <c r="G230" s="7"/>
    </row>
    <row r="231" spans="1:7" ht="13.5" thickBot="1" x14ac:dyDescent="0.25">
      <c r="A231" s="256" t="s">
        <v>302</v>
      </c>
      <c r="B231" s="257" t="s">
        <v>8</v>
      </c>
      <c r="C231" s="257">
        <f>C228*12</f>
        <v>120</v>
      </c>
      <c r="D231" s="258">
        <f>IF(C229&lt;=C228,E230,0)</f>
        <v>149914.00000000003</v>
      </c>
      <c r="E231" s="258">
        <f>IFERROR(D231/C231,0)</f>
        <v>1249.2833333333335</v>
      </c>
      <c r="G231" s="7"/>
    </row>
    <row r="232" spans="1:7" ht="13.5" thickTop="1" x14ac:dyDescent="0.2">
      <c r="A232" s="283" t="s">
        <v>303</v>
      </c>
      <c r="B232" s="12" t="s">
        <v>9</v>
      </c>
      <c r="C232" s="12">
        <f>C227</f>
        <v>1</v>
      </c>
      <c r="D232" s="79">
        <v>169133.33</v>
      </c>
      <c r="E232" s="13">
        <f>C232*D232</f>
        <v>169133.33</v>
      </c>
      <c r="G232" s="7"/>
    </row>
    <row r="233" spans="1:7" ht="11.25" customHeight="1" x14ac:dyDescent="0.2">
      <c r="A233" s="291" t="s">
        <v>304</v>
      </c>
      <c r="B233" s="15" t="s">
        <v>94</v>
      </c>
      <c r="C233" s="78">
        <v>10</v>
      </c>
      <c r="D233" s="16"/>
      <c r="E233" s="16"/>
      <c r="G233" s="7"/>
    </row>
    <row r="234" spans="1:7" x14ac:dyDescent="0.2">
      <c r="A234" s="291" t="s">
        <v>305</v>
      </c>
      <c r="B234" s="15" t="s">
        <v>94</v>
      </c>
      <c r="C234" s="78">
        <v>0</v>
      </c>
      <c r="D234" s="16"/>
      <c r="E234" s="16"/>
      <c r="F234" s="18"/>
      <c r="G234" s="7"/>
    </row>
    <row r="235" spans="1:7" ht="11.25" customHeight="1" x14ac:dyDescent="0.2">
      <c r="A235" s="291" t="s">
        <v>306</v>
      </c>
      <c r="B235" s="15" t="s">
        <v>2</v>
      </c>
      <c r="C235" s="128">
        <v>65.180000000000007</v>
      </c>
      <c r="D235" s="16">
        <f>E232</f>
        <v>169133.33</v>
      </c>
      <c r="E235" s="16">
        <f>C235*D235/100</f>
        <v>110241.104494</v>
      </c>
      <c r="G235" s="7"/>
    </row>
    <row r="236" spans="1:7" x14ac:dyDescent="0.2">
      <c r="A236" s="90" t="s">
        <v>302</v>
      </c>
      <c r="B236" s="91" t="s">
        <v>8</v>
      </c>
      <c r="C236" s="91">
        <f>C233*12</f>
        <v>120</v>
      </c>
      <c r="D236" s="92">
        <f>IF(C234&lt;=C233,E235,0)</f>
        <v>110241.104494</v>
      </c>
      <c r="E236" s="92">
        <f>IFERROR(D236/C236,0)</f>
        <v>918.67587078333338</v>
      </c>
    </row>
    <row r="237" spans="1:7" ht="11.25" customHeight="1" x14ac:dyDescent="0.2">
      <c r="A237" s="104" t="s">
        <v>239</v>
      </c>
      <c r="B237" s="105"/>
      <c r="C237" s="105"/>
      <c r="D237" s="106"/>
      <c r="E237" s="107">
        <f>E231+E236</f>
        <v>2167.959204116667</v>
      </c>
    </row>
    <row r="238" spans="1:7" x14ac:dyDescent="0.2">
      <c r="A238" s="90" t="s">
        <v>240</v>
      </c>
      <c r="B238" s="91" t="s">
        <v>9</v>
      </c>
      <c r="C238" s="78">
        <v>1</v>
      </c>
      <c r="D238" s="92">
        <f>E237</f>
        <v>2167.959204116667</v>
      </c>
      <c r="E238" s="107">
        <f>C238*D238</f>
        <v>2167.959204116667</v>
      </c>
    </row>
    <row r="239" spans="1:7" ht="39" thickBot="1" x14ac:dyDescent="0.25">
      <c r="A239" s="300" t="s">
        <v>294</v>
      </c>
      <c r="B239" s="293" t="s">
        <v>2</v>
      </c>
      <c r="C239" s="294">
        <v>10</v>
      </c>
      <c r="D239" s="28">
        <f>D238</f>
        <v>2167.959204116667</v>
      </c>
      <c r="E239" s="107">
        <f>D239*(C239/100)</f>
        <v>216.79592041166671</v>
      </c>
    </row>
    <row r="240" spans="1:7" ht="13.5" thickBot="1" x14ac:dyDescent="0.25">
      <c r="A240" s="252"/>
      <c r="B240" s="252"/>
      <c r="C240" s="252"/>
      <c r="D240" s="110" t="s">
        <v>185</v>
      </c>
      <c r="E240" s="44">
        <f>0.2</f>
        <v>0.2</v>
      </c>
      <c r="F240" s="19">
        <f>(E238+E239)*E240</f>
        <v>476.95102490566683</v>
      </c>
    </row>
    <row r="242" spans="1:7" ht="13.5" thickBot="1" x14ac:dyDescent="0.25">
      <c r="A242" s="94" t="s">
        <v>105</v>
      </c>
    </row>
    <row r="243" spans="1:7" ht="13.5" thickBot="1" x14ac:dyDescent="0.25">
      <c r="A243" s="96" t="s">
        <v>59</v>
      </c>
      <c r="B243" s="97" t="s">
        <v>60</v>
      </c>
      <c r="C243" s="97" t="s">
        <v>37</v>
      </c>
      <c r="D243" s="56" t="s">
        <v>221</v>
      </c>
      <c r="E243" s="98" t="s">
        <v>61</v>
      </c>
      <c r="F243" s="57" t="s">
        <v>62</v>
      </c>
      <c r="G243" s="289"/>
    </row>
    <row r="244" spans="1:7" s="45" customFormat="1" ht="11.25" customHeight="1" x14ac:dyDescent="0.2">
      <c r="A244" s="14" t="s">
        <v>103</v>
      </c>
      <c r="B244" s="15" t="s">
        <v>9</v>
      </c>
      <c r="C244" s="253">
        <v>1</v>
      </c>
      <c r="D244" s="16">
        <f>D227</f>
        <v>230000</v>
      </c>
      <c r="E244" s="16">
        <f>C244*D244</f>
        <v>230000</v>
      </c>
      <c r="F244" s="18"/>
      <c r="G244" s="76"/>
    </row>
    <row r="245" spans="1:7" x14ac:dyDescent="0.2">
      <c r="A245" s="14" t="s">
        <v>200</v>
      </c>
      <c r="B245" s="15" t="s">
        <v>2</v>
      </c>
      <c r="C245" s="78">
        <v>2.75</v>
      </c>
      <c r="D245" s="16"/>
      <c r="E245" s="16"/>
      <c r="F245" s="18"/>
    </row>
    <row r="246" spans="1:7" x14ac:dyDescent="0.2">
      <c r="A246" s="14" t="s">
        <v>198</v>
      </c>
      <c r="B246" s="15" t="s">
        <v>30</v>
      </c>
      <c r="C246" s="135">
        <f>IFERROR(IF(C229&lt;=C228,E227-(C230/(100*C228)*C229)*E227,E227-E230),0)</f>
        <v>80086</v>
      </c>
      <c r="D246" s="16"/>
      <c r="E246" s="16"/>
      <c r="F246" s="18"/>
    </row>
    <row r="247" spans="1:7" x14ac:dyDescent="0.2">
      <c r="A247" s="14" t="s">
        <v>108</v>
      </c>
      <c r="B247" s="15" t="s">
        <v>30</v>
      </c>
      <c r="C247" s="75">
        <f>IFERROR(IF(C229&gt;=C228,C246,((((C246)-(E227-E230))*(((C228-C229)+1)/(2*(C228-C229))))+(E227-E230))),0)</f>
        <v>80086</v>
      </c>
      <c r="D247" s="16"/>
      <c r="E247" s="16"/>
      <c r="F247" s="18"/>
    </row>
    <row r="248" spans="1:7" ht="13.5" thickBot="1" x14ac:dyDescent="0.25">
      <c r="A248" s="256" t="s">
        <v>109</v>
      </c>
      <c r="B248" s="257" t="s">
        <v>30</v>
      </c>
      <c r="C248" s="257"/>
      <c r="D248" s="259">
        <f>C245*C247/12/100</f>
        <v>183.53041666666667</v>
      </c>
      <c r="E248" s="258">
        <f>D248</f>
        <v>183.53041666666667</v>
      </c>
      <c r="F248" s="18"/>
    </row>
    <row r="249" spans="1:7" ht="13.5" thickTop="1" x14ac:dyDescent="0.2">
      <c r="A249" s="11" t="s">
        <v>104</v>
      </c>
      <c r="B249" s="12" t="s">
        <v>9</v>
      </c>
      <c r="C249" s="12">
        <f>C232</f>
        <v>1</v>
      </c>
      <c r="D249" s="13">
        <f>D232</f>
        <v>169133.33</v>
      </c>
      <c r="E249" s="13">
        <f>C249*D249</f>
        <v>169133.33</v>
      </c>
      <c r="F249" s="18"/>
    </row>
    <row r="250" spans="1:7" x14ac:dyDescent="0.2">
      <c r="A250" s="14" t="s">
        <v>200</v>
      </c>
      <c r="B250" s="15" t="s">
        <v>2</v>
      </c>
      <c r="C250" s="254">
        <f>C245</f>
        <v>2.75</v>
      </c>
      <c r="D250" s="16"/>
      <c r="E250" s="16"/>
      <c r="F250" s="18"/>
    </row>
    <row r="251" spans="1:7" x14ac:dyDescent="0.2">
      <c r="A251" s="14" t="s">
        <v>199</v>
      </c>
      <c r="B251" s="15" t="s">
        <v>30</v>
      </c>
      <c r="C251" s="135">
        <f>IFERROR(IF(C234&lt;=C233,E232-(C235/(100*C233)*C234)*E232,E232-E235),0)</f>
        <v>169133.33</v>
      </c>
      <c r="D251" s="16"/>
      <c r="E251" s="16"/>
      <c r="F251" s="18"/>
    </row>
    <row r="252" spans="1:7" x14ac:dyDescent="0.2">
      <c r="A252" s="14" t="s">
        <v>110</v>
      </c>
      <c r="B252" s="15" t="s">
        <v>30</v>
      </c>
      <c r="C252" s="75">
        <f>IFERROR(IF(C234&gt;=C233,C251,((((C251)-(E232-E235))*(((C233-C234)+1)/(2*(C233-C234))))+(E232-E235))),0)</f>
        <v>119524.83297769999</v>
      </c>
      <c r="D252" s="16"/>
      <c r="E252" s="16"/>
      <c r="F252" s="18"/>
    </row>
    <row r="253" spans="1:7" x14ac:dyDescent="0.2">
      <c r="A253" s="90" t="s">
        <v>107</v>
      </c>
      <c r="B253" s="91" t="s">
        <v>30</v>
      </c>
      <c r="C253" s="91"/>
      <c r="D253" s="100">
        <f>C250*C252/12/100</f>
        <v>273.9110755738958</v>
      </c>
      <c r="E253" s="92">
        <f>D253</f>
        <v>273.9110755738958</v>
      </c>
      <c r="F253" s="18"/>
    </row>
    <row r="254" spans="1:7" x14ac:dyDescent="0.2">
      <c r="A254" s="104" t="s">
        <v>239</v>
      </c>
      <c r="B254" s="105"/>
      <c r="C254" s="105"/>
      <c r="D254" s="106"/>
      <c r="E254" s="107">
        <f>E248+E253</f>
        <v>457.44149224056247</v>
      </c>
      <c r="F254" s="18"/>
    </row>
    <row r="255" spans="1:7" x14ac:dyDescent="0.2">
      <c r="A255" s="90" t="s">
        <v>240</v>
      </c>
      <c r="B255" s="91" t="s">
        <v>9</v>
      </c>
      <c r="C255" s="254">
        <f>C238</f>
        <v>1</v>
      </c>
      <c r="D255" s="92">
        <f>E254</f>
        <v>457.44149224056247</v>
      </c>
      <c r="E255" s="107">
        <f>C255*D255</f>
        <v>457.44149224056247</v>
      </c>
      <c r="F255" s="18"/>
    </row>
    <row r="256" spans="1:7" ht="39" thickBot="1" x14ac:dyDescent="0.25">
      <c r="A256" s="300" t="s">
        <v>286</v>
      </c>
      <c r="B256" s="293" t="s">
        <v>2</v>
      </c>
      <c r="C256" s="294">
        <v>10</v>
      </c>
      <c r="D256" s="28">
        <f>D255</f>
        <v>457.44149224056247</v>
      </c>
      <c r="E256" s="107">
        <f>D256*(C256/100)</f>
        <v>45.744149224056251</v>
      </c>
      <c r="F256" s="18"/>
    </row>
    <row r="257" spans="1:6" ht="13.5" thickBot="1" x14ac:dyDescent="0.25">
      <c r="C257" s="17"/>
      <c r="D257" s="110" t="s">
        <v>185</v>
      </c>
      <c r="E257" s="44">
        <v>0.2</v>
      </c>
      <c r="F257" s="19">
        <f>(E255+E256)*E257</f>
        <v>100.63712829292375</v>
      </c>
    </row>
    <row r="259" spans="1:6" ht="13.5" thickBot="1" x14ac:dyDescent="0.25">
      <c r="A259" s="5" t="s">
        <v>307</v>
      </c>
    </row>
    <row r="260" spans="1:6" ht="13.5" thickBot="1" x14ac:dyDescent="0.25">
      <c r="A260" s="54" t="s">
        <v>59</v>
      </c>
      <c r="B260" s="55" t="s">
        <v>60</v>
      </c>
      <c r="C260" s="55" t="s">
        <v>37</v>
      </c>
      <c r="D260" s="56" t="s">
        <v>221</v>
      </c>
      <c r="E260" s="56" t="s">
        <v>61</v>
      </c>
      <c r="F260" s="57" t="s">
        <v>62</v>
      </c>
    </row>
    <row r="261" spans="1:6" x14ac:dyDescent="0.2">
      <c r="A261" s="11" t="s">
        <v>10</v>
      </c>
      <c r="B261" s="12" t="s">
        <v>9</v>
      </c>
      <c r="C261" s="13">
        <f>C238</f>
        <v>1</v>
      </c>
      <c r="D261" s="13">
        <f>0.01*($E$244)</f>
        <v>2300</v>
      </c>
      <c r="E261" s="13">
        <f>C261*D261</f>
        <v>2300</v>
      </c>
    </row>
    <row r="262" spans="1:6" x14ac:dyDescent="0.2">
      <c r="A262" s="14" t="s">
        <v>184</v>
      </c>
      <c r="B262" s="15" t="s">
        <v>9</v>
      </c>
      <c r="C262" s="13">
        <f>C238</f>
        <v>1</v>
      </c>
      <c r="D262" s="81">
        <v>85.23</v>
      </c>
      <c r="E262" s="16">
        <f>C262*D262</f>
        <v>85.23</v>
      </c>
    </row>
    <row r="263" spans="1:6" x14ac:dyDescent="0.2">
      <c r="A263" s="14" t="s">
        <v>11</v>
      </c>
      <c r="B263" s="15" t="s">
        <v>9</v>
      </c>
      <c r="C263" s="13">
        <f>C238</f>
        <v>1</v>
      </c>
      <c r="D263" s="81">
        <v>2898.12</v>
      </c>
      <c r="E263" s="16">
        <f>C263*D263</f>
        <v>2898.12</v>
      </c>
      <c r="F263" s="28"/>
    </row>
    <row r="264" spans="1:6" ht="13.5" thickBot="1" x14ac:dyDescent="0.25">
      <c r="A264" s="90" t="s">
        <v>12</v>
      </c>
      <c r="B264" s="91" t="s">
        <v>8</v>
      </c>
      <c r="C264" s="91">
        <v>12</v>
      </c>
      <c r="D264" s="92">
        <f>SUM(E261:E263)</f>
        <v>5283.35</v>
      </c>
      <c r="E264" s="92">
        <f>D264/C264</f>
        <v>440.2791666666667</v>
      </c>
    </row>
    <row r="265" spans="1:6" ht="13.5" thickBot="1" x14ac:dyDescent="0.25">
      <c r="D265" s="110" t="s">
        <v>185</v>
      </c>
      <c r="E265" s="44">
        <v>0.2</v>
      </c>
      <c r="F265" s="111">
        <f>E264*E265</f>
        <v>88.055833333333339</v>
      </c>
    </row>
    <row r="267" spans="1:6" x14ac:dyDescent="0.2">
      <c r="A267" s="5" t="s">
        <v>308</v>
      </c>
      <c r="B267" s="29"/>
    </row>
    <row r="268" spans="1:6" x14ac:dyDescent="0.2">
      <c r="B268" s="29"/>
    </row>
    <row r="269" spans="1:6" x14ac:dyDescent="0.2">
      <c r="A269" s="90" t="s">
        <v>112</v>
      </c>
      <c r="B269" s="101">
        <v>720</v>
      </c>
    </row>
    <row r="270" spans="1:6" ht="11.25" customHeight="1" thickBot="1" x14ac:dyDescent="0.25">
      <c r="B270" s="29"/>
    </row>
    <row r="271" spans="1:6" ht="17.25" customHeight="1" thickBot="1" x14ac:dyDescent="0.25">
      <c r="A271" s="54" t="s">
        <v>59</v>
      </c>
      <c r="B271" s="55" t="s">
        <v>60</v>
      </c>
      <c r="C271" s="55" t="s">
        <v>238</v>
      </c>
      <c r="D271" s="56" t="s">
        <v>221</v>
      </c>
      <c r="E271" s="56" t="s">
        <v>61</v>
      </c>
      <c r="F271" s="57" t="s">
        <v>62</v>
      </c>
    </row>
    <row r="272" spans="1:6" ht="11.25" customHeight="1" x14ac:dyDescent="0.2">
      <c r="A272" s="11" t="s">
        <v>13</v>
      </c>
      <c r="B272" s="12" t="s">
        <v>14</v>
      </c>
      <c r="C272" s="85">
        <v>2.09</v>
      </c>
      <c r="D272" s="86">
        <v>6.79</v>
      </c>
      <c r="E272" s="13"/>
    </row>
    <row r="273" spans="1:6" x14ac:dyDescent="0.2">
      <c r="A273" s="14" t="s">
        <v>15</v>
      </c>
      <c r="B273" s="15" t="s">
        <v>16</v>
      </c>
      <c r="C273" s="83">
        <f>B269</f>
        <v>720</v>
      </c>
      <c r="D273" s="251">
        <f>IFERROR(+D272/C272,"-")</f>
        <v>3.2488038277511966</v>
      </c>
      <c r="E273" s="16">
        <f>IFERROR(C273*D273,"-")</f>
        <v>2339.1387559808613</v>
      </c>
    </row>
    <row r="274" spans="1:6" ht="11.25" customHeight="1" x14ac:dyDescent="0.2">
      <c r="A274" s="14" t="s">
        <v>222</v>
      </c>
      <c r="B274" s="15" t="s">
        <v>17</v>
      </c>
      <c r="C274" s="88">
        <v>4</v>
      </c>
      <c r="D274" s="81">
        <v>22</v>
      </c>
      <c r="E274" s="16"/>
    </row>
    <row r="275" spans="1:6" x14ac:dyDescent="0.2">
      <c r="A275" s="14" t="s">
        <v>18</v>
      </c>
      <c r="B275" s="15" t="s">
        <v>16</v>
      </c>
      <c r="C275" s="83">
        <f>C273</f>
        <v>720</v>
      </c>
      <c r="D275" s="248">
        <f>+C274*D274/1000</f>
        <v>8.7999999999999995E-2</v>
      </c>
      <c r="E275" s="16">
        <f>C275*D275</f>
        <v>63.36</v>
      </c>
    </row>
    <row r="276" spans="1:6" x14ac:dyDescent="0.2">
      <c r="A276" s="14" t="s">
        <v>223</v>
      </c>
      <c r="B276" s="15" t="s">
        <v>17</v>
      </c>
      <c r="C276" s="88">
        <v>0.51</v>
      </c>
      <c r="D276" s="81">
        <v>370</v>
      </c>
      <c r="E276" s="16"/>
    </row>
    <row r="277" spans="1:6" x14ac:dyDescent="0.2">
      <c r="A277" s="14" t="s">
        <v>19</v>
      </c>
      <c r="B277" s="15" t="s">
        <v>16</v>
      </c>
      <c r="C277" s="83">
        <f>C273</f>
        <v>720</v>
      </c>
      <c r="D277" s="248">
        <f>+C276*D276/1000</f>
        <v>0.18870000000000001</v>
      </c>
      <c r="E277" s="16">
        <f>C277*D277</f>
        <v>135.864</v>
      </c>
    </row>
    <row r="278" spans="1:6" ht="11.25" customHeight="1" x14ac:dyDescent="0.2">
      <c r="A278" s="14" t="s">
        <v>224</v>
      </c>
      <c r="B278" s="15" t="s">
        <v>17</v>
      </c>
      <c r="C278" s="88">
        <v>0.9</v>
      </c>
      <c r="D278" s="81">
        <v>22</v>
      </c>
      <c r="E278" s="16"/>
    </row>
    <row r="279" spans="1:6" x14ac:dyDescent="0.2">
      <c r="A279" s="14" t="s">
        <v>20</v>
      </c>
      <c r="B279" s="15" t="s">
        <v>16</v>
      </c>
      <c r="C279" s="83">
        <f>C273</f>
        <v>720</v>
      </c>
      <c r="D279" s="248">
        <f>+C278*D278/1000</f>
        <v>1.9800000000000002E-2</v>
      </c>
      <c r="E279" s="16">
        <f>C279*D279</f>
        <v>14.256000000000002</v>
      </c>
    </row>
    <row r="280" spans="1:6" x14ac:dyDescent="0.2">
      <c r="A280" s="291" t="s">
        <v>295</v>
      </c>
      <c r="B280" s="15" t="s">
        <v>21</v>
      </c>
      <c r="C280" s="88">
        <v>1</v>
      </c>
      <c r="D280" s="81">
        <v>18</v>
      </c>
      <c r="E280" s="16"/>
    </row>
    <row r="281" spans="1:6" ht="11.25" customHeight="1" x14ac:dyDescent="0.2">
      <c r="A281" s="14" t="s">
        <v>22</v>
      </c>
      <c r="B281" s="15" t="s">
        <v>16</v>
      </c>
      <c r="C281" s="83">
        <f>C273</f>
        <v>720</v>
      </c>
      <c r="D281" s="248">
        <f>+C280*D280/1000</f>
        <v>1.7999999999999999E-2</v>
      </c>
      <c r="E281" s="16">
        <f>C281*D281</f>
        <v>12.959999999999999</v>
      </c>
    </row>
    <row r="282" spans="1:6" ht="24.75" customHeight="1" thickBot="1" x14ac:dyDescent="0.25">
      <c r="A282" s="90" t="s">
        <v>237</v>
      </c>
      <c r="B282" s="91" t="s">
        <v>113</v>
      </c>
      <c r="C282" s="249"/>
      <c r="D282" s="250">
        <f>IFERROR(D273+D275+D277+D279+D281,0)</f>
        <v>3.5633038277511964</v>
      </c>
      <c r="E282" s="16"/>
    </row>
    <row r="283" spans="1:6" ht="12.6" customHeight="1" thickBot="1" x14ac:dyDescent="0.25">
      <c r="F283" s="19">
        <f>SUM(E272:E281)</f>
        <v>2565.5787559808614</v>
      </c>
    </row>
    <row r="285" spans="1:6" ht="13.5" thickBot="1" x14ac:dyDescent="0.25">
      <c r="A285" s="5" t="s">
        <v>309</v>
      </c>
    </row>
    <row r="286" spans="1:6" ht="13.5" thickBot="1" x14ac:dyDescent="0.25">
      <c r="A286" s="54" t="s">
        <v>59</v>
      </c>
      <c r="B286" s="55" t="s">
        <v>60</v>
      </c>
      <c r="C286" s="55" t="s">
        <v>37</v>
      </c>
      <c r="D286" s="56" t="s">
        <v>221</v>
      </c>
      <c r="E286" s="56" t="s">
        <v>61</v>
      </c>
      <c r="F286" s="57" t="s">
        <v>62</v>
      </c>
    </row>
    <row r="287" spans="1:6" ht="13.5" thickBot="1" x14ac:dyDescent="0.25">
      <c r="A287" s="11" t="s">
        <v>111</v>
      </c>
      <c r="B287" s="12" t="s">
        <v>113</v>
      </c>
      <c r="C287" s="83">
        <f>C273</f>
        <v>720</v>
      </c>
      <c r="D287" s="79">
        <v>0.85</v>
      </c>
      <c r="E287" s="13">
        <f>C287*D287</f>
        <v>612</v>
      </c>
    </row>
    <row r="288" spans="1:6" ht="13.5" thickBot="1" x14ac:dyDescent="0.25">
      <c r="F288" s="19">
        <f>E287</f>
        <v>612</v>
      </c>
    </row>
    <row r="290" spans="1:6" ht="13.5" thickBot="1" x14ac:dyDescent="0.25">
      <c r="A290" s="5" t="s">
        <v>310</v>
      </c>
    </row>
    <row r="291" spans="1:6" ht="13.5" thickBot="1" x14ac:dyDescent="0.25">
      <c r="A291" s="54" t="s">
        <v>59</v>
      </c>
      <c r="B291" s="55" t="s">
        <v>60</v>
      </c>
      <c r="C291" s="55" t="s">
        <v>37</v>
      </c>
      <c r="D291" s="56" t="s">
        <v>221</v>
      </c>
      <c r="E291" s="56" t="s">
        <v>61</v>
      </c>
      <c r="F291" s="57" t="s">
        <v>62</v>
      </c>
    </row>
    <row r="292" spans="1:6" x14ac:dyDescent="0.2">
      <c r="A292" s="283" t="s">
        <v>296</v>
      </c>
      <c r="B292" s="12" t="s">
        <v>9</v>
      </c>
      <c r="C292" s="84">
        <v>6</v>
      </c>
      <c r="D292" s="79">
        <v>2445</v>
      </c>
      <c r="E292" s="13">
        <f>C292*D292</f>
        <v>14670</v>
      </c>
    </row>
    <row r="293" spans="1:6" x14ac:dyDescent="0.2">
      <c r="A293" s="11" t="s">
        <v>114</v>
      </c>
      <c r="B293" s="12" t="s">
        <v>9</v>
      </c>
      <c r="C293" s="84">
        <v>2</v>
      </c>
      <c r="D293" s="93"/>
      <c r="E293" s="13"/>
    </row>
    <row r="294" spans="1:6" x14ac:dyDescent="0.2">
      <c r="A294" s="11" t="s">
        <v>66</v>
      </c>
      <c r="B294" s="12" t="s">
        <v>9</v>
      </c>
      <c r="C294" s="13">
        <f>C292*C293</f>
        <v>12</v>
      </c>
      <c r="D294" s="79">
        <v>650</v>
      </c>
      <c r="E294" s="13">
        <f>C294*D294</f>
        <v>7800</v>
      </c>
    </row>
    <row r="295" spans="1:6" x14ac:dyDescent="0.2">
      <c r="A295" s="291" t="s">
        <v>290</v>
      </c>
      <c r="B295" s="15" t="s">
        <v>23</v>
      </c>
      <c r="C295" s="87">
        <v>45000</v>
      </c>
      <c r="D295" s="16">
        <f>E292+E294</f>
        <v>22470</v>
      </c>
      <c r="E295" s="16">
        <f>IFERROR(D295/C295,"-")</f>
        <v>0.49933333333333335</v>
      </c>
    </row>
    <row r="296" spans="1:6" ht="13.5" thickBot="1" x14ac:dyDescent="0.25">
      <c r="A296" s="14" t="s">
        <v>51</v>
      </c>
      <c r="B296" s="15" t="s">
        <v>16</v>
      </c>
      <c r="C296" s="83">
        <f>B269</f>
        <v>720</v>
      </c>
      <c r="D296" s="16">
        <f>E295</f>
        <v>0.49933333333333335</v>
      </c>
      <c r="E296" s="16">
        <f>IFERROR(C296*D296,0)</f>
        <v>359.52000000000004</v>
      </c>
    </row>
    <row r="297" spans="1:6" ht="13.5" thickBot="1" x14ac:dyDescent="0.25">
      <c r="F297" s="19">
        <f>E296</f>
        <v>359.52000000000004</v>
      </c>
    </row>
    <row r="298" spans="1:6" ht="13.5" thickBot="1" x14ac:dyDescent="0.25"/>
    <row r="299" spans="1:6" ht="13.5" thickBot="1" x14ac:dyDescent="0.25">
      <c r="A299" s="5" t="s">
        <v>311</v>
      </c>
      <c r="F299" s="19">
        <f>+SUM(F226:F298)</f>
        <v>4202.7427425127853</v>
      </c>
    </row>
    <row r="300" spans="1:6" ht="13.5" thickBot="1" x14ac:dyDescent="0.25">
      <c r="A300" s="21" t="s">
        <v>209</v>
      </c>
      <c r="B300" s="22"/>
      <c r="C300" s="22"/>
      <c r="D300" s="23"/>
      <c r="E300" s="24"/>
      <c r="F300" s="19">
        <f>F221+F299</f>
        <v>10786.060614352</v>
      </c>
    </row>
    <row r="303" spans="1:6" x14ac:dyDescent="0.2">
      <c r="A303" s="31" t="s">
        <v>69</v>
      </c>
      <c r="B303" s="31"/>
      <c r="C303" s="31"/>
      <c r="D303" s="32"/>
      <c r="E303" s="32"/>
      <c r="F303" s="30"/>
    </row>
    <row r="304" spans="1:6" ht="13.5" thickBot="1" x14ac:dyDescent="0.25"/>
    <row r="305" spans="1:7" ht="13.5" thickBot="1" x14ac:dyDescent="0.25">
      <c r="A305" s="54" t="s">
        <v>59</v>
      </c>
      <c r="B305" s="55" t="s">
        <v>60</v>
      </c>
      <c r="C305" s="55" t="s">
        <v>37</v>
      </c>
      <c r="D305" s="56" t="s">
        <v>221</v>
      </c>
      <c r="E305" s="56" t="s">
        <v>61</v>
      </c>
      <c r="F305" s="57" t="s">
        <v>62</v>
      </c>
    </row>
    <row r="306" spans="1:7" x14ac:dyDescent="0.2">
      <c r="A306" s="14" t="s">
        <v>67</v>
      </c>
      <c r="B306" s="15" t="s">
        <v>9</v>
      </c>
      <c r="C306" s="89">
        <f>1/12</f>
        <v>8.3333333333333329E-2</v>
      </c>
      <c r="D306" s="79">
        <v>65</v>
      </c>
      <c r="E306" s="16">
        <f>C306*D306</f>
        <v>5.4166666666666661</v>
      </c>
      <c r="F306" s="49"/>
    </row>
    <row r="307" spans="1:7" x14ac:dyDescent="0.2">
      <c r="A307" s="14" t="s">
        <v>24</v>
      </c>
      <c r="B307" s="15" t="s">
        <v>9</v>
      </c>
      <c r="C307" s="89">
        <f>1/12</f>
        <v>8.3333333333333329E-2</v>
      </c>
      <c r="D307" s="79">
        <v>35</v>
      </c>
      <c r="E307" s="16">
        <f>C307*D307</f>
        <v>2.9166666666666665</v>
      </c>
      <c r="F307" s="49"/>
    </row>
    <row r="308" spans="1:7" x14ac:dyDescent="0.2">
      <c r="A308" s="14" t="s">
        <v>25</v>
      </c>
      <c r="B308" s="15" t="s">
        <v>9</v>
      </c>
      <c r="C308" s="89">
        <v>0.16666666666666666</v>
      </c>
      <c r="D308" s="79">
        <v>28</v>
      </c>
      <c r="E308" s="16">
        <f>C308*D308</f>
        <v>4.6666666666666661</v>
      </c>
      <c r="F308" s="49"/>
    </row>
    <row r="309" spans="1:7" x14ac:dyDescent="0.2">
      <c r="A309" s="14" t="s">
        <v>53</v>
      </c>
      <c r="B309" s="15" t="s">
        <v>54</v>
      </c>
      <c r="C309" s="89">
        <f>1/12</f>
        <v>8.3333333333333329E-2</v>
      </c>
      <c r="D309" s="79">
        <v>70</v>
      </c>
      <c r="E309" s="16">
        <f>C309*D309</f>
        <v>5.833333333333333</v>
      </c>
      <c r="F309" s="49"/>
    </row>
    <row r="310" spans="1:7" ht="13.5" thickBot="1" x14ac:dyDescent="0.25">
      <c r="A310" s="14" t="s">
        <v>56</v>
      </c>
      <c r="B310" s="15" t="s">
        <v>54</v>
      </c>
      <c r="C310" s="89">
        <f>1/12</f>
        <v>8.3333333333333329E-2</v>
      </c>
      <c r="D310" s="79">
        <v>50</v>
      </c>
      <c r="E310" s="16">
        <f>C310*D310</f>
        <v>4.1666666666666661</v>
      </c>
      <c r="F310" s="49"/>
    </row>
    <row r="311" spans="1:7" ht="13.5" thickBot="1" x14ac:dyDescent="0.25">
      <c r="A311" s="31"/>
      <c r="B311" s="31"/>
      <c r="C311" s="31"/>
      <c r="D311" s="31"/>
      <c r="E311" s="32"/>
      <c r="F311" s="19">
        <f>SUM(E306:E310)</f>
        <v>23</v>
      </c>
    </row>
    <row r="312" spans="1:7" ht="13.5" thickBot="1" x14ac:dyDescent="0.25"/>
    <row r="313" spans="1:7" ht="13.5" thickBot="1" x14ac:dyDescent="0.25">
      <c r="A313" s="21" t="s">
        <v>210</v>
      </c>
      <c r="B313" s="22"/>
      <c r="C313" s="22"/>
      <c r="D313" s="23"/>
      <c r="E313" s="24"/>
      <c r="F313" s="19">
        <f>+F311</f>
        <v>23</v>
      </c>
    </row>
    <row r="314" spans="1:7" ht="9" customHeight="1" x14ac:dyDescent="0.2">
      <c r="G314" s="7"/>
    </row>
    <row r="315" spans="1:7" x14ac:dyDescent="0.2">
      <c r="A315" s="31" t="s">
        <v>70</v>
      </c>
      <c r="B315" s="31"/>
      <c r="C315" s="31"/>
      <c r="D315" s="32"/>
      <c r="E315" s="32"/>
      <c r="F315" s="30"/>
    </row>
    <row r="316" spans="1:7" ht="13.5" thickBot="1" x14ac:dyDescent="0.25"/>
    <row r="317" spans="1:7" ht="13.5" thickBot="1" x14ac:dyDescent="0.25">
      <c r="A317" s="54" t="s">
        <v>59</v>
      </c>
      <c r="B317" s="55" t="s">
        <v>60</v>
      </c>
      <c r="C317" s="55" t="s">
        <v>37</v>
      </c>
      <c r="D317" s="56" t="s">
        <v>221</v>
      </c>
      <c r="E317" s="56" t="s">
        <v>61</v>
      </c>
      <c r="F317" s="57" t="s">
        <v>62</v>
      </c>
    </row>
    <row r="318" spans="1:7" x14ac:dyDescent="0.2">
      <c r="A318" s="14" t="s">
        <v>207</v>
      </c>
      <c r="B318" s="47" t="s">
        <v>54</v>
      </c>
      <c r="C318" s="62">
        <f>C148</f>
        <v>1</v>
      </c>
      <c r="D318" s="81">
        <v>150</v>
      </c>
      <c r="E318" s="16">
        <f>+D318*C318</f>
        <v>150</v>
      </c>
      <c r="F318" s="49"/>
    </row>
    <row r="319" spans="1:7" x14ac:dyDescent="0.2">
      <c r="A319" s="14" t="s">
        <v>57</v>
      </c>
      <c r="B319" s="47" t="s">
        <v>8</v>
      </c>
      <c r="C319" s="141">
        <v>60</v>
      </c>
      <c r="D319" s="302">
        <f>SUM(E318:E318)</f>
        <v>150</v>
      </c>
      <c r="E319" s="72">
        <f>+D319/C319</f>
        <v>2.5</v>
      </c>
      <c r="F319" s="49"/>
    </row>
    <row r="320" spans="1:7" x14ac:dyDescent="0.2">
      <c r="A320" s="14" t="s">
        <v>208</v>
      </c>
      <c r="B320" s="15" t="s">
        <v>9</v>
      </c>
      <c r="C320" s="62">
        <f>+C318</f>
        <v>1</v>
      </c>
      <c r="D320" s="81">
        <v>65</v>
      </c>
      <c r="E320" s="16">
        <f>C320*D320</f>
        <v>65</v>
      </c>
      <c r="F320" s="49"/>
    </row>
    <row r="321" spans="1:6" ht="13.5" thickBot="1" x14ac:dyDescent="0.25">
      <c r="A321" s="14" t="s">
        <v>34</v>
      </c>
      <c r="B321" s="47" t="s">
        <v>8</v>
      </c>
      <c r="C321" s="141">
        <v>1</v>
      </c>
      <c r="D321" s="302">
        <f>+E320</f>
        <v>65</v>
      </c>
      <c r="E321" s="302">
        <f>+D321/C321</f>
        <v>65</v>
      </c>
      <c r="F321" s="49"/>
    </row>
    <row r="322" spans="1:6" ht="13.5" thickBot="1" x14ac:dyDescent="0.25">
      <c r="A322" s="73"/>
      <c r="B322" s="73"/>
      <c r="C322" s="73"/>
      <c r="D322" s="110" t="s">
        <v>185</v>
      </c>
      <c r="E322" s="44">
        <f>$B$48</f>
        <v>0.55000000000000004</v>
      </c>
      <c r="F322" s="74">
        <f>(E319+E321)*E322</f>
        <v>37.125</v>
      </c>
    </row>
    <row r="323" spans="1:6" ht="13.5" thickBot="1" x14ac:dyDescent="0.25"/>
    <row r="324" spans="1:6" ht="13.5" thickBot="1" x14ac:dyDescent="0.25">
      <c r="A324" s="21" t="s">
        <v>206</v>
      </c>
      <c r="B324" s="22"/>
      <c r="C324" s="22"/>
      <c r="D324" s="23"/>
      <c r="E324" s="24"/>
      <c r="F324" s="19">
        <f>+F322</f>
        <v>37.125</v>
      </c>
    </row>
    <row r="325" spans="1:6" x14ac:dyDescent="0.2">
      <c r="A325" s="31"/>
      <c r="B325" s="31"/>
      <c r="C325" s="31"/>
      <c r="D325" s="32"/>
      <c r="E325" s="32"/>
      <c r="F325" s="303"/>
    </row>
    <row r="326" spans="1:6" x14ac:dyDescent="0.2">
      <c r="A326" s="31" t="s">
        <v>319</v>
      </c>
      <c r="B326" s="48"/>
      <c r="C326" s="48"/>
      <c r="D326" s="53"/>
      <c r="E326" s="53"/>
      <c r="F326" s="316"/>
    </row>
    <row r="327" spans="1:6" ht="13.5" thickBot="1" x14ac:dyDescent="0.25">
      <c r="A327" s="31"/>
      <c r="B327" s="48"/>
      <c r="C327" s="48"/>
      <c r="D327" s="53"/>
      <c r="E327" s="53"/>
      <c r="F327" s="316"/>
    </row>
    <row r="328" spans="1:6" ht="13.5" thickBot="1" x14ac:dyDescent="0.25">
      <c r="A328" s="308" t="s">
        <v>59</v>
      </c>
      <c r="B328" s="309" t="s">
        <v>60</v>
      </c>
      <c r="C328" s="309" t="s">
        <v>37</v>
      </c>
      <c r="D328" s="310" t="s">
        <v>221</v>
      </c>
      <c r="E328" s="310" t="s">
        <v>61</v>
      </c>
      <c r="F328" s="311" t="s">
        <v>62</v>
      </c>
    </row>
    <row r="329" spans="1:6" ht="26.25" thickBot="1" x14ac:dyDescent="0.25">
      <c r="A329" s="317" t="s">
        <v>314</v>
      </c>
      <c r="B329" s="306" t="s">
        <v>313</v>
      </c>
      <c r="C329" s="82">
        <v>45</v>
      </c>
      <c r="D329" s="81">
        <v>145</v>
      </c>
      <c r="E329" s="75">
        <f>+D329*C329</f>
        <v>6525</v>
      </c>
      <c r="F329" s="49"/>
    </row>
    <row r="330" spans="1:6" ht="13.5" thickBot="1" x14ac:dyDescent="0.25">
      <c r="A330" s="307" t="s">
        <v>315</v>
      </c>
      <c r="B330" s="307"/>
      <c r="C330" s="307"/>
      <c r="D330" s="304"/>
      <c r="E330" s="305"/>
      <c r="F330" s="312">
        <f>E329</f>
        <v>6525</v>
      </c>
    </row>
    <row r="331" spans="1:6" ht="13.5" thickBot="1" x14ac:dyDescent="0.25">
      <c r="A331" s="307"/>
      <c r="B331" s="307"/>
      <c r="C331" s="307"/>
      <c r="D331" s="304"/>
      <c r="E331" s="318"/>
      <c r="F331" s="312"/>
    </row>
    <row r="332" spans="1:6" ht="13.5" thickBot="1" x14ac:dyDescent="0.25">
      <c r="A332" s="21" t="s">
        <v>211</v>
      </c>
      <c r="B332" s="25"/>
      <c r="C332" s="25"/>
      <c r="D332" s="26"/>
      <c r="E332" s="27"/>
      <c r="F332" s="20">
        <f>+F107+F140+F221+F313+F324+F330+F299</f>
        <v>26342.305368709618</v>
      </c>
    </row>
    <row r="334" spans="1:6" x14ac:dyDescent="0.2">
      <c r="A334" s="9" t="s">
        <v>297</v>
      </c>
    </row>
    <row r="335" spans="1:6" ht="13.5" thickBot="1" x14ac:dyDescent="0.25"/>
    <row r="336" spans="1:6" ht="13.5" thickBot="1" x14ac:dyDescent="0.25">
      <c r="A336" s="54" t="s">
        <v>59</v>
      </c>
      <c r="B336" s="55" t="s">
        <v>60</v>
      </c>
      <c r="C336" s="55" t="s">
        <v>37</v>
      </c>
      <c r="D336" s="56" t="s">
        <v>221</v>
      </c>
      <c r="E336" s="56" t="s">
        <v>61</v>
      </c>
      <c r="F336" s="57" t="s">
        <v>62</v>
      </c>
    </row>
    <row r="337" spans="1:6" ht="13.5" thickBot="1" x14ac:dyDescent="0.25">
      <c r="A337" s="11" t="s">
        <v>33</v>
      </c>
      <c r="B337" s="12" t="s">
        <v>2</v>
      </c>
      <c r="C337" s="127">
        <f>'4.BDI'!C20*100</f>
        <v>25.369999999999997</v>
      </c>
      <c r="D337" s="13">
        <f>+F332</f>
        <v>26342.305368709618</v>
      </c>
      <c r="E337" s="13">
        <f>C337*D337/100</f>
        <v>6683.0428720416294</v>
      </c>
    </row>
    <row r="338" spans="1:6" ht="13.5" thickBot="1" x14ac:dyDescent="0.25">
      <c r="F338" s="19">
        <f>+E337</f>
        <v>6683.0428720416294</v>
      </c>
    </row>
    <row r="339" spans="1:6" ht="13.5" thickBot="1" x14ac:dyDescent="0.25"/>
    <row r="340" spans="1:6" ht="13.5" thickBot="1" x14ac:dyDescent="0.25">
      <c r="A340" s="21" t="s">
        <v>225</v>
      </c>
      <c r="B340" s="25"/>
      <c r="C340" s="25"/>
      <c r="D340" s="26"/>
      <c r="E340" s="27"/>
      <c r="F340" s="20">
        <f>F338</f>
        <v>6683.0428720416294</v>
      </c>
    </row>
    <row r="341" spans="1:6" x14ac:dyDescent="0.2">
      <c r="A341" s="31"/>
      <c r="B341" s="31"/>
      <c r="C341" s="31"/>
      <c r="D341" s="32"/>
      <c r="E341" s="32"/>
      <c r="F341" s="30"/>
    </row>
    <row r="342" spans="1:6" ht="13.5" thickBot="1" x14ac:dyDescent="0.25"/>
    <row r="343" spans="1:6" ht="13.5" thickBot="1" x14ac:dyDescent="0.25">
      <c r="A343" s="21" t="s">
        <v>212</v>
      </c>
      <c r="B343" s="25"/>
      <c r="C343" s="25"/>
      <c r="D343" s="26"/>
      <c r="E343" s="27"/>
      <c r="F343" s="20">
        <f>F332+F340</f>
        <v>33025.348240751249</v>
      </c>
    </row>
    <row r="344" spans="1:6" ht="15.75" x14ac:dyDescent="0.2">
      <c r="A344" s="50"/>
      <c r="B344" s="50"/>
      <c r="C344" s="50"/>
      <c r="D344" s="51"/>
      <c r="E344" s="51"/>
      <c r="F344" s="51"/>
    </row>
    <row r="374" spans="4:6" x14ac:dyDescent="0.2">
      <c r="D374" s="7"/>
      <c r="E374" s="7"/>
      <c r="F374" s="7"/>
    </row>
  </sheetData>
  <mergeCells count="9">
    <mergeCell ref="A2:F11"/>
    <mergeCell ref="A43:D43"/>
    <mergeCell ref="A24:C24"/>
    <mergeCell ref="A15:F15"/>
    <mergeCell ref="A36:D36"/>
    <mergeCell ref="A17:F17"/>
    <mergeCell ref="A35:E35"/>
    <mergeCell ref="A13:F14"/>
    <mergeCell ref="A12:F12"/>
  </mergeCells>
  <phoneticPr fontId="9" type="noConversion"/>
  <hyperlinks>
    <hyperlink ref="A163" location="AbaRemun" display="3.1.2. Remuneração do Capital"/>
    <hyperlink ref="A146" location="AbaDeprec" display="3.1.1. Depreciação"/>
    <hyperlink ref="A242" location="AbaRemun" display="3.1.2. Remuneração do Capital"/>
    <hyperlink ref="A225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76" fitToHeight="0" orientation="portrait" r:id="rId1"/>
  <headerFooter alignWithMargins="0">
    <oddFooter>&amp;R&amp;P de &amp;N</oddFooter>
  </headerFooter>
  <rowBreaks count="3" manualBreakCount="3">
    <brk id="49" max="5" man="1"/>
    <brk id="141" max="5" man="1"/>
    <brk id="300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opLeftCell="A13" zoomScaleNormal="100" workbookViewId="0">
      <selection activeCell="C39" sqref="C39"/>
    </sheetView>
  </sheetViews>
  <sheetFormatPr defaultRowHeight="12.75" x14ac:dyDescent="0.2"/>
  <cols>
    <col min="1" max="1" width="13.5703125" style="1" customWidth="1"/>
    <col min="2" max="2" width="39.5703125" style="1" bestFit="1" customWidth="1"/>
    <col min="3" max="3" width="14.5703125" style="1" customWidth="1"/>
    <col min="4" max="8" width="9.140625" style="1"/>
    <col min="9" max="9" width="11" style="1" bestFit="1" customWidth="1"/>
    <col min="10" max="16384" width="9.140625" style="1"/>
  </cols>
  <sheetData>
    <row r="1" spans="1:10" x14ac:dyDescent="0.2">
      <c r="A1" s="9" t="s">
        <v>192</v>
      </c>
    </row>
    <row r="2" spans="1:10" x14ac:dyDescent="0.2">
      <c r="A2" s="126" t="s">
        <v>231</v>
      </c>
    </row>
    <row r="3" spans="1:10" s="2" customFormat="1" ht="15.6" customHeight="1" x14ac:dyDescent="0.2">
      <c r="B3" s="125"/>
      <c r="C3" s="125"/>
      <c r="D3" s="125"/>
      <c r="E3" s="4"/>
    </row>
    <row r="4" spans="1:10" s="2" customFormat="1" ht="15.6" customHeight="1" x14ac:dyDescent="0.2">
      <c r="A4" s="280"/>
      <c r="B4" s="125"/>
      <c r="C4" s="125"/>
      <c r="D4" s="125"/>
      <c r="E4" s="4"/>
    </row>
    <row r="5" spans="1:10" s="2" customFormat="1" ht="16.5" customHeight="1" x14ac:dyDescent="0.2">
      <c r="A5" s="280"/>
      <c r="B5" s="3"/>
      <c r="C5" s="3"/>
      <c r="D5" s="4"/>
      <c r="E5" s="4"/>
    </row>
    <row r="6" spans="1:10" ht="13.5" thickBot="1" x14ac:dyDescent="0.25"/>
    <row r="7" spans="1:10" ht="18" x14ac:dyDescent="0.2">
      <c r="A7" s="337" t="s">
        <v>215</v>
      </c>
      <c r="B7" s="338"/>
      <c r="C7" s="339"/>
      <c r="D7" s="136"/>
    </row>
    <row r="8" spans="1:10" ht="14.25" x14ac:dyDescent="0.2">
      <c r="A8" s="155" t="s">
        <v>131</v>
      </c>
      <c r="B8" s="156" t="s">
        <v>132</v>
      </c>
      <c r="C8" s="157" t="s">
        <v>133</v>
      </c>
    </row>
    <row r="9" spans="1:10" ht="14.25" x14ac:dyDescent="0.2">
      <c r="A9" s="155" t="s">
        <v>134</v>
      </c>
      <c r="B9" s="156" t="s">
        <v>38</v>
      </c>
      <c r="C9" s="159">
        <v>0.2</v>
      </c>
      <c r="D9" s="144"/>
      <c r="E9" s="144"/>
      <c r="F9" s="144"/>
      <c r="G9" s="144"/>
      <c r="H9" s="144"/>
      <c r="I9" s="144"/>
      <c r="J9" s="144"/>
    </row>
    <row r="10" spans="1:10" ht="14.25" x14ac:dyDescent="0.2">
      <c r="A10" s="155" t="s">
        <v>135</v>
      </c>
      <c r="B10" s="156" t="s">
        <v>136</v>
      </c>
      <c r="C10" s="159">
        <v>1.4999999999999999E-2</v>
      </c>
      <c r="D10" s="144"/>
      <c r="E10" s="144"/>
      <c r="F10" s="144"/>
      <c r="G10" s="144"/>
      <c r="H10" s="144"/>
      <c r="I10" s="144"/>
      <c r="J10" s="144"/>
    </row>
    <row r="11" spans="1:10" ht="14.25" x14ac:dyDescent="0.2">
      <c r="A11" s="155" t="s">
        <v>137</v>
      </c>
      <c r="B11" s="156" t="s">
        <v>138</v>
      </c>
      <c r="C11" s="159">
        <v>0.01</v>
      </c>
      <c r="D11" s="144"/>
      <c r="E11" s="144"/>
      <c r="F11" s="144"/>
      <c r="G11" s="144"/>
      <c r="H11" s="144"/>
      <c r="I11" s="144"/>
      <c r="J11" s="144"/>
    </row>
    <row r="12" spans="1:10" ht="14.25" x14ac:dyDescent="0.2">
      <c r="A12" s="155" t="s">
        <v>139</v>
      </c>
      <c r="B12" s="156" t="s">
        <v>140</v>
      </c>
      <c r="C12" s="159">
        <v>2E-3</v>
      </c>
      <c r="D12" s="144"/>
      <c r="E12" s="144"/>
      <c r="F12" s="144"/>
      <c r="G12" s="144"/>
      <c r="H12" s="144"/>
      <c r="I12" s="144"/>
      <c r="J12" s="144"/>
    </row>
    <row r="13" spans="1:10" ht="14.25" x14ac:dyDescent="0.2">
      <c r="A13" s="155" t="s">
        <v>141</v>
      </c>
      <c r="B13" s="156" t="s">
        <v>142</v>
      </c>
      <c r="C13" s="159">
        <v>6.0000000000000001E-3</v>
      </c>
      <c r="D13" s="144"/>
      <c r="E13" s="144"/>
      <c r="F13" s="144"/>
      <c r="G13" s="144"/>
      <c r="H13" s="144"/>
      <c r="I13" s="144"/>
      <c r="J13" s="144"/>
    </row>
    <row r="14" spans="1:10" ht="14.25" x14ac:dyDescent="0.2">
      <c r="A14" s="155" t="s">
        <v>143</v>
      </c>
      <c r="B14" s="156" t="s">
        <v>144</v>
      </c>
      <c r="C14" s="159">
        <v>2.5000000000000001E-2</v>
      </c>
      <c r="D14" s="144"/>
      <c r="E14" s="144"/>
      <c r="F14" s="144"/>
      <c r="G14" s="144"/>
      <c r="H14" s="144"/>
      <c r="I14" s="144"/>
      <c r="J14" s="144"/>
    </row>
    <row r="15" spans="1:10" ht="14.25" x14ac:dyDescent="0.2">
      <c r="A15" s="155" t="s">
        <v>145</v>
      </c>
      <c r="B15" s="156" t="s">
        <v>146</v>
      </c>
      <c r="C15" s="159">
        <v>0.03</v>
      </c>
      <c r="D15" s="144"/>
      <c r="E15" s="144"/>
      <c r="F15" s="144"/>
      <c r="G15" s="144"/>
      <c r="H15" s="144"/>
      <c r="I15" s="144"/>
      <c r="J15" s="144"/>
    </row>
    <row r="16" spans="1:10" ht="14.25" x14ac:dyDescent="0.2">
      <c r="A16" s="155" t="s">
        <v>147</v>
      </c>
      <c r="B16" s="156" t="s">
        <v>39</v>
      </c>
      <c r="C16" s="159">
        <v>0.08</v>
      </c>
      <c r="D16" s="144"/>
      <c r="E16" s="144"/>
      <c r="F16" s="144"/>
      <c r="G16" s="144"/>
      <c r="H16" s="144"/>
      <c r="I16" s="144"/>
      <c r="J16" s="144"/>
    </row>
    <row r="17" spans="1:10" ht="15" x14ac:dyDescent="0.2">
      <c r="A17" s="155" t="s">
        <v>148</v>
      </c>
      <c r="B17" s="161" t="s">
        <v>149</v>
      </c>
      <c r="C17" s="162">
        <f>SUM(C9:C16)</f>
        <v>0.36800000000000005</v>
      </c>
      <c r="D17" s="144"/>
      <c r="E17" s="144"/>
      <c r="F17" s="144"/>
      <c r="G17" s="144"/>
      <c r="H17" s="144"/>
      <c r="I17" s="144"/>
      <c r="J17" s="144"/>
    </row>
    <row r="18" spans="1:10" ht="15" x14ac:dyDescent="0.2">
      <c r="A18" s="163"/>
      <c r="B18" s="164"/>
      <c r="C18" s="165"/>
      <c r="D18" s="144"/>
      <c r="E18" s="144"/>
      <c r="F18" s="144"/>
      <c r="G18" s="144"/>
      <c r="H18" s="144"/>
      <c r="I18" s="144"/>
      <c r="J18" s="144"/>
    </row>
    <row r="19" spans="1:10" ht="14.25" x14ac:dyDescent="0.2">
      <c r="A19" s="155" t="s">
        <v>150</v>
      </c>
      <c r="B19" s="166" t="s">
        <v>151</v>
      </c>
      <c r="C19" s="159">
        <f>ROUND(IF('3.CAGED'!C27&gt;24,(1-12/'3.CAGED'!C27)*0.1111,0.1111-C28),4)</f>
        <v>6.1899999999999997E-2</v>
      </c>
      <c r="D19" s="144"/>
      <c r="E19" s="144"/>
      <c r="F19" s="144"/>
      <c r="G19" s="144"/>
      <c r="H19" s="144"/>
      <c r="I19" s="144"/>
      <c r="J19" s="144"/>
    </row>
    <row r="20" spans="1:10" ht="14.25" x14ac:dyDescent="0.2">
      <c r="A20" s="155" t="s">
        <v>152</v>
      </c>
      <c r="B20" s="166" t="s">
        <v>153</v>
      </c>
      <c r="C20" s="159">
        <f>ROUND('3.CAGED'!C31/'3.CAGED'!C28,4)</f>
        <v>8.3299999999999999E-2</v>
      </c>
      <c r="D20" s="144"/>
      <c r="E20" s="144"/>
      <c r="F20" s="144"/>
      <c r="G20" s="144"/>
      <c r="H20" s="144"/>
      <c r="I20" s="144"/>
      <c r="J20" s="144"/>
    </row>
    <row r="21" spans="1:10" ht="14.25" x14ac:dyDescent="0.2">
      <c r="A21" s="155" t="s">
        <v>205</v>
      </c>
      <c r="B21" s="166" t="s">
        <v>155</v>
      </c>
      <c r="C21" s="159">
        <v>5.9999999999999995E-4</v>
      </c>
      <c r="D21" s="144"/>
      <c r="E21" s="144"/>
      <c r="F21" s="144"/>
      <c r="G21" s="144"/>
      <c r="H21" s="144"/>
      <c r="I21" s="144"/>
      <c r="J21" s="144"/>
    </row>
    <row r="22" spans="1:10" ht="14.25" x14ac:dyDescent="0.2">
      <c r="A22" s="155" t="s">
        <v>154</v>
      </c>
      <c r="B22" s="166" t="s">
        <v>157</v>
      </c>
      <c r="C22" s="159">
        <v>8.2000000000000007E-3</v>
      </c>
      <c r="D22" s="144"/>
      <c r="E22" s="144"/>
      <c r="F22" s="144"/>
      <c r="G22" s="144"/>
      <c r="H22" s="144"/>
      <c r="I22" s="144"/>
      <c r="J22" s="144"/>
    </row>
    <row r="23" spans="1:10" ht="14.25" x14ac:dyDescent="0.2">
      <c r="A23" s="155" t="s">
        <v>156</v>
      </c>
      <c r="B23" s="166" t="s">
        <v>159</v>
      </c>
      <c r="C23" s="159">
        <v>3.0999999999999999E-3</v>
      </c>
      <c r="D23" s="144"/>
      <c r="E23" s="144"/>
      <c r="F23" s="144"/>
      <c r="G23" s="144"/>
      <c r="H23" s="144"/>
      <c r="I23" s="144"/>
      <c r="J23" s="144"/>
    </row>
    <row r="24" spans="1:10" ht="14.25" x14ac:dyDescent="0.2">
      <c r="A24" s="155" t="s">
        <v>158</v>
      </c>
      <c r="B24" s="166" t="s">
        <v>160</v>
      </c>
      <c r="C24" s="159">
        <v>1.66E-2</v>
      </c>
      <c r="D24" s="144"/>
      <c r="E24" s="144"/>
      <c r="F24" s="144"/>
      <c r="G24" s="144"/>
      <c r="H24" s="144"/>
      <c r="I24" s="144"/>
      <c r="J24" s="144"/>
    </row>
    <row r="25" spans="1:10" ht="15" x14ac:dyDescent="0.2">
      <c r="A25" s="155" t="s">
        <v>161</v>
      </c>
      <c r="B25" s="161" t="s">
        <v>162</v>
      </c>
      <c r="C25" s="162">
        <f>SUM(C19:C24)</f>
        <v>0.17369999999999999</v>
      </c>
      <c r="D25" s="144"/>
      <c r="E25" s="144"/>
      <c r="F25" s="144"/>
      <c r="G25" s="144"/>
      <c r="H25" s="144"/>
      <c r="I25" s="144"/>
      <c r="J25" s="144"/>
    </row>
    <row r="26" spans="1:10" ht="15" x14ac:dyDescent="0.2">
      <c r="A26" s="163"/>
      <c r="B26" s="164"/>
      <c r="C26" s="165"/>
      <c r="D26" s="144"/>
      <c r="E26" s="144"/>
      <c r="F26" s="144"/>
      <c r="G26" s="144"/>
      <c r="H26" s="144"/>
      <c r="I26" s="144"/>
      <c r="J26" s="144"/>
    </row>
    <row r="27" spans="1:10" ht="14.25" x14ac:dyDescent="0.2">
      <c r="A27" s="155" t="s">
        <v>163</v>
      </c>
      <c r="B27" s="156" t="s">
        <v>164</v>
      </c>
      <c r="C27" s="159">
        <f>ROUND(('3.CAGED'!C32) *'3.CAGED'!C25/'3.CAGED'!C28,4)</f>
        <v>2.5600000000000001E-2</v>
      </c>
      <c r="D27" s="144"/>
      <c r="E27" s="144"/>
      <c r="F27" s="144"/>
      <c r="G27" s="144"/>
      <c r="H27" s="144"/>
      <c r="I27" s="144"/>
      <c r="J27" s="144"/>
    </row>
    <row r="28" spans="1:10" ht="14.25" x14ac:dyDescent="0.2">
      <c r="A28" s="155" t="s">
        <v>204</v>
      </c>
      <c r="B28" s="156" t="s">
        <v>166</v>
      </c>
      <c r="C28" s="159">
        <f>ROUND(IF('3.CAGED'!C27&gt;12,12/'3.CAGED'!C27*0.1111,0.1111),4)</f>
        <v>4.9200000000000001E-2</v>
      </c>
      <c r="D28" s="144"/>
      <c r="E28" s="144"/>
      <c r="F28" s="167"/>
      <c r="G28" s="144"/>
      <c r="H28" s="144"/>
      <c r="I28" s="144"/>
      <c r="J28" s="144"/>
    </row>
    <row r="29" spans="1:10" ht="14.25" x14ac:dyDescent="0.2">
      <c r="A29" s="155" t="s">
        <v>165</v>
      </c>
      <c r="B29" s="156" t="s">
        <v>168</v>
      </c>
      <c r="C29" s="159">
        <f>C27*C28</f>
        <v>1.2595200000000001E-3</v>
      </c>
      <c r="D29" s="144"/>
      <c r="E29" s="144"/>
      <c r="F29" s="144"/>
      <c r="G29" s="144"/>
      <c r="H29" s="144"/>
      <c r="I29" s="144"/>
      <c r="J29" s="144"/>
    </row>
    <row r="30" spans="1:10" ht="14.25" x14ac:dyDescent="0.2">
      <c r="A30" s="155" t="s">
        <v>167</v>
      </c>
      <c r="B30" s="156" t="s">
        <v>170</v>
      </c>
      <c r="C30" s="159">
        <f>ROUND(('3.CAGED'!C28+'3.CAGED'!C29+'3.CAGED'!C31)/'3.CAGED'!C26*'3.CAGED'!C33*'3.CAGED'!C34*'3.CAGED'!C25/'3.CAGED'!C28,4)</f>
        <v>2.0500000000000001E-2</v>
      </c>
      <c r="D30" s="144"/>
      <c r="E30" s="168"/>
      <c r="F30" s="144"/>
      <c r="G30" s="144"/>
      <c r="H30" s="144"/>
      <c r="I30" s="144"/>
      <c r="J30" s="144"/>
    </row>
    <row r="31" spans="1:10" ht="14.25" x14ac:dyDescent="0.2">
      <c r="A31" s="155" t="s">
        <v>169</v>
      </c>
      <c r="B31" s="156" t="s">
        <v>171</v>
      </c>
      <c r="C31" s="159">
        <f>ROUND(('3.CAGED'!C30/'3.CAGED'!C28)*'3.CAGED'!C25/12,4)</f>
        <v>1.8E-3</v>
      </c>
      <c r="D31" s="144"/>
      <c r="E31" s="144"/>
      <c r="F31" s="144"/>
      <c r="G31" s="144"/>
      <c r="H31" s="144"/>
      <c r="I31" s="144"/>
      <c r="J31" s="144"/>
    </row>
    <row r="32" spans="1:10" ht="15" x14ac:dyDescent="0.2">
      <c r="A32" s="155" t="s">
        <v>172</v>
      </c>
      <c r="B32" s="161" t="s">
        <v>173</v>
      </c>
      <c r="C32" s="162">
        <f>SUM(C27:C31)</f>
        <v>9.8359520000000006E-2</v>
      </c>
      <c r="D32" s="144"/>
      <c r="E32" s="144"/>
      <c r="F32" s="144"/>
      <c r="G32" s="144"/>
      <c r="H32" s="144"/>
      <c r="I32" s="144"/>
      <c r="J32" s="144"/>
    </row>
    <row r="33" spans="1:10" ht="15" x14ac:dyDescent="0.2">
      <c r="A33" s="163"/>
      <c r="B33" s="164"/>
      <c r="C33" s="165"/>
      <c r="D33" s="144"/>
      <c r="E33" s="144"/>
      <c r="F33" s="144"/>
      <c r="G33" s="144"/>
      <c r="H33" s="144"/>
      <c r="I33" s="144"/>
      <c r="J33" s="144"/>
    </row>
    <row r="34" spans="1:10" ht="14.25" x14ac:dyDescent="0.2">
      <c r="A34" s="155" t="s">
        <v>174</v>
      </c>
      <c r="B34" s="156" t="s">
        <v>175</v>
      </c>
      <c r="C34" s="159">
        <f>ROUND(C17*C25,4)</f>
        <v>6.3899999999999998E-2</v>
      </c>
      <c r="D34" s="144"/>
      <c r="E34" s="144"/>
      <c r="F34" s="144"/>
      <c r="G34" s="144"/>
      <c r="H34" s="144"/>
      <c r="I34" s="144"/>
      <c r="J34" s="144"/>
    </row>
    <row r="35" spans="1:10" ht="28.5" x14ac:dyDescent="0.2">
      <c r="A35" s="155" t="s">
        <v>176</v>
      </c>
      <c r="B35" s="169" t="s">
        <v>267</v>
      </c>
      <c r="C35" s="159">
        <f>ROUND((C27*C16),4)</f>
        <v>2E-3</v>
      </c>
      <c r="D35" s="144"/>
      <c r="E35" s="144"/>
      <c r="F35" s="144"/>
      <c r="G35" s="144"/>
      <c r="H35" s="144"/>
      <c r="I35" s="144"/>
      <c r="J35" s="144"/>
    </row>
    <row r="36" spans="1:10" ht="15" x14ac:dyDescent="0.2">
      <c r="A36" s="155" t="s">
        <v>177</v>
      </c>
      <c r="B36" s="161" t="s">
        <v>178</v>
      </c>
      <c r="C36" s="162">
        <f>SUM(C34:C35)</f>
        <v>6.59E-2</v>
      </c>
      <c r="D36" s="144"/>
      <c r="E36" s="144"/>
      <c r="F36" s="144"/>
      <c r="G36" s="144"/>
      <c r="H36" s="144"/>
      <c r="I36" s="144"/>
      <c r="J36" s="144"/>
    </row>
    <row r="37" spans="1:10" ht="15.75" thickBot="1" x14ac:dyDescent="0.25">
      <c r="A37" s="171"/>
      <c r="B37" s="172" t="s">
        <v>179</v>
      </c>
      <c r="C37" s="173">
        <f>C36+C32+C25+C17</f>
        <v>0.70595951999999995</v>
      </c>
      <c r="D37" s="144"/>
      <c r="E37" s="144"/>
      <c r="F37" s="144"/>
      <c r="G37" s="144"/>
      <c r="H37" s="144"/>
      <c r="I37" s="144"/>
      <c r="J37" s="144"/>
    </row>
    <row r="38" spans="1:10" ht="15" x14ac:dyDescent="0.2">
      <c r="A38" s="160"/>
      <c r="B38" s="174"/>
      <c r="C38" s="175"/>
      <c r="D38" s="144"/>
      <c r="E38" s="144"/>
      <c r="F38" s="144"/>
      <c r="G38" s="144"/>
      <c r="H38" s="144"/>
      <c r="I38" s="144"/>
      <c r="J38" s="144"/>
    </row>
    <row r="39" spans="1:10" ht="14.25" x14ac:dyDescent="0.2">
      <c r="A39" s="160"/>
      <c r="B39" s="160"/>
      <c r="C39" s="176"/>
      <c r="D39" s="144"/>
      <c r="E39" s="144"/>
      <c r="F39" s="144"/>
      <c r="G39" s="144"/>
      <c r="H39" s="144"/>
      <c r="I39" s="144"/>
      <c r="J39" s="144"/>
    </row>
    <row r="40" spans="1:10" ht="14.25" x14ac:dyDescent="0.2">
      <c r="A40" s="158"/>
      <c r="B40" s="158"/>
      <c r="C40" s="177"/>
      <c r="D40" s="144"/>
      <c r="E40" s="144"/>
      <c r="F40" s="144"/>
      <c r="G40" s="144"/>
      <c r="H40" s="144"/>
      <c r="I40" s="144"/>
      <c r="J40" s="144"/>
    </row>
    <row r="41" spans="1:10" ht="14.25" x14ac:dyDescent="0.2">
      <c r="A41" s="158"/>
      <c r="B41" s="158"/>
      <c r="C41" s="177"/>
      <c r="D41" s="144"/>
      <c r="E41" s="144"/>
      <c r="F41" s="144"/>
      <c r="G41" s="144"/>
      <c r="H41" s="144"/>
      <c r="I41" s="144"/>
      <c r="J41" s="144"/>
    </row>
    <row r="42" spans="1:10" ht="14.25" x14ac:dyDescent="0.2">
      <c r="A42" s="158"/>
      <c r="B42" s="158"/>
      <c r="C42" s="177"/>
      <c r="D42" s="144"/>
      <c r="E42" s="144"/>
      <c r="F42" s="144"/>
      <c r="G42" s="144"/>
      <c r="H42" s="144"/>
      <c r="I42" s="144"/>
      <c r="J42" s="144"/>
    </row>
    <row r="43" spans="1:10" ht="15" x14ac:dyDescent="0.2">
      <c r="A43" s="158"/>
      <c r="B43" s="178"/>
      <c r="C43" s="179"/>
      <c r="D43" s="144"/>
      <c r="E43" s="144"/>
      <c r="F43" s="144"/>
      <c r="G43" s="144"/>
      <c r="H43" s="144"/>
      <c r="I43" s="144"/>
      <c r="J43" s="144"/>
    </row>
    <row r="44" spans="1:10" ht="15" x14ac:dyDescent="0.2">
      <c r="A44" s="170"/>
      <c r="B44" s="178"/>
      <c r="C44" s="179"/>
      <c r="D44" s="144"/>
      <c r="E44" s="144"/>
      <c r="F44" s="144"/>
      <c r="G44" s="144"/>
      <c r="H44" s="144"/>
      <c r="I44" s="144"/>
      <c r="J44" s="144"/>
    </row>
    <row r="45" spans="1:10" ht="16.5" x14ac:dyDescent="0.2">
      <c r="A45" s="180"/>
      <c r="B45" s="144"/>
      <c r="C45" s="144"/>
      <c r="D45" s="144"/>
      <c r="E45" s="144"/>
      <c r="F45" s="144"/>
      <c r="G45" s="144"/>
      <c r="H45" s="144"/>
      <c r="I45" s="144"/>
      <c r="J45" s="144"/>
    </row>
    <row r="46" spans="1:10" x14ac:dyDescent="0.2">
      <c r="A46" s="181"/>
      <c r="B46" s="182"/>
      <c r="C46" s="182"/>
      <c r="D46" s="144"/>
      <c r="E46" s="144"/>
      <c r="F46" s="144"/>
      <c r="G46" s="144"/>
      <c r="H46" s="144"/>
      <c r="I46" s="144"/>
      <c r="J46" s="144"/>
    </row>
    <row r="47" spans="1:10" ht="14.25" x14ac:dyDescent="0.2">
      <c r="A47" s="158"/>
      <c r="B47" s="183"/>
      <c r="C47" s="182"/>
      <c r="D47" s="144"/>
      <c r="E47" s="144"/>
      <c r="F47" s="144"/>
      <c r="G47" s="144"/>
      <c r="H47" s="144"/>
      <c r="I47" s="144"/>
      <c r="J47" s="144"/>
    </row>
    <row r="48" spans="1:10" ht="14.25" x14ac:dyDescent="0.2">
      <c r="A48" s="158"/>
      <c r="B48" s="183"/>
      <c r="C48" s="158"/>
      <c r="D48" s="144"/>
      <c r="E48" s="144"/>
      <c r="F48" s="144"/>
      <c r="G48" s="144"/>
      <c r="H48" s="144"/>
      <c r="I48" s="144"/>
      <c r="J48" s="144"/>
    </row>
    <row r="49" spans="1:10" ht="14.25" x14ac:dyDescent="0.2">
      <c r="A49" s="158"/>
      <c r="B49" s="177"/>
      <c r="C49" s="182"/>
      <c r="D49" s="144"/>
      <c r="E49" s="144"/>
      <c r="F49" s="144"/>
      <c r="G49" s="144"/>
      <c r="H49" s="144"/>
      <c r="I49" s="144"/>
      <c r="J49" s="144"/>
    </row>
    <row r="50" spans="1:10" ht="14.25" x14ac:dyDescent="0.2">
      <c r="A50" s="158"/>
      <c r="B50" s="183"/>
      <c r="C50" s="158"/>
      <c r="D50" s="144"/>
      <c r="E50" s="144"/>
      <c r="F50" s="144"/>
      <c r="G50" s="144"/>
      <c r="H50" s="144"/>
      <c r="I50" s="144"/>
      <c r="J50" s="144"/>
    </row>
    <row r="51" spans="1:10" ht="14.25" x14ac:dyDescent="0.2">
      <c r="A51" s="158"/>
      <c r="B51" s="177"/>
      <c r="C51" s="182"/>
      <c r="D51" s="144"/>
      <c r="E51" s="144"/>
      <c r="F51" s="144"/>
      <c r="G51" s="144"/>
      <c r="H51" s="144"/>
      <c r="I51" s="144"/>
      <c r="J51" s="144"/>
    </row>
    <row r="52" spans="1:10" ht="14.25" x14ac:dyDescent="0.2">
      <c r="A52" s="158"/>
      <c r="B52" s="183"/>
      <c r="C52" s="158"/>
      <c r="D52" s="144"/>
      <c r="E52" s="144"/>
      <c r="F52" s="144"/>
      <c r="G52" s="144"/>
      <c r="H52" s="144"/>
      <c r="I52" s="144"/>
      <c r="J52" s="144"/>
    </row>
    <row r="53" spans="1:10" ht="14.25" x14ac:dyDescent="0.2">
      <c r="A53" s="158"/>
      <c r="B53" s="177"/>
      <c r="C53" s="182"/>
      <c r="D53" s="144"/>
      <c r="E53" s="144"/>
      <c r="F53" s="144"/>
      <c r="G53" s="144"/>
      <c r="H53" s="144"/>
      <c r="I53" s="144"/>
      <c r="J53" s="144"/>
    </row>
    <row r="54" spans="1:10" ht="14.25" x14ac:dyDescent="0.2">
      <c r="A54" s="158"/>
      <c r="B54" s="183"/>
      <c r="C54" s="158"/>
      <c r="D54" s="144"/>
      <c r="E54" s="144"/>
      <c r="F54" s="144"/>
      <c r="G54" s="144"/>
      <c r="H54" s="144"/>
      <c r="I54" s="144"/>
      <c r="J54" s="144"/>
    </row>
    <row r="55" spans="1:10" ht="14.25" x14ac:dyDescent="0.2">
      <c r="A55" s="158"/>
      <c r="B55" s="177"/>
      <c r="C55" s="182"/>
      <c r="D55" s="144"/>
      <c r="E55" s="144"/>
      <c r="F55" s="144"/>
      <c r="G55" s="144"/>
      <c r="H55" s="144"/>
      <c r="I55" s="144"/>
      <c r="J55" s="144"/>
    </row>
    <row r="56" spans="1:10" ht="16.5" x14ac:dyDescent="0.2">
      <c r="A56" s="180"/>
      <c r="B56" s="144"/>
      <c r="C56" s="144"/>
      <c r="D56" s="144"/>
      <c r="E56" s="144"/>
      <c r="F56" s="144"/>
      <c r="G56" s="144"/>
      <c r="H56" s="144"/>
      <c r="I56" s="144"/>
      <c r="J56" s="144"/>
    </row>
    <row r="57" spans="1:10" x14ac:dyDescent="0.2">
      <c r="A57" s="144"/>
      <c r="B57" s="144"/>
      <c r="C57" s="144"/>
      <c r="D57" s="144"/>
      <c r="E57" s="144"/>
      <c r="F57" s="144"/>
      <c r="G57" s="144"/>
      <c r="H57" s="144"/>
      <c r="I57" s="144"/>
      <c r="J57" s="144"/>
    </row>
    <row r="58" spans="1:10" x14ac:dyDescent="0.2">
      <c r="A58" s="144"/>
      <c r="B58" s="144"/>
      <c r="C58" s="144"/>
      <c r="D58" s="144"/>
      <c r="E58" s="144"/>
      <c r="F58" s="144"/>
      <c r="G58" s="144"/>
      <c r="H58" s="144"/>
      <c r="I58" s="144"/>
      <c r="J58" s="144"/>
    </row>
    <row r="59" spans="1:10" x14ac:dyDescent="0.2">
      <c r="A59" s="184"/>
      <c r="B59" s="144"/>
      <c r="C59" s="144"/>
      <c r="D59" s="144"/>
      <c r="E59" s="144"/>
      <c r="F59" s="144"/>
      <c r="G59" s="144"/>
      <c r="H59" s="144"/>
      <c r="I59" s="144"/>
      <c r="J59" s="144"/>
    </row>
    <row r="60" spans="1:10" x14ac:dyDescent="0.2">
      <c r="A60" s="144"/>
      <c r="B60" s="144"/>
      <c r="C60" s="144"/>
    </row>
    <row r="61" spans="1:10" x14ac:dyDescent="0.2">
      <c r="A61" s="144"/>
      <c r="B61" s="144"/>
      <c r="C61" s="144"/>
    </row>
    <row r="62" spans="1:10" x14ac:dyDescent="0.2">
      <c r="A62" s="144"/>
      <c r="B62" s="144"/>
      <c r="C62" s="144"/>
    </row>
    <row r="63" spans="1:10" x14ac:dyDescent="0.2">
      <c r="A63" s="144"/>
      <c r="B63" s="144"/>
      <c r="C63" s="144"/>
    </row>
    <row r="64" spans="1:10" x14ac:dyDescent="0.2">
      <c r="A64" s="144"/>
      <c r="B64" s="144"/>
      <c r="C64" s="144"/>
    </row>
    <row r="65" spans="1:3" x14ac:dyDescent="0.2">
      <c r="A65" s="144"/>
      <c r="B65" s="144"/>
      <c r="C65" s="144"/>
    </row>
    <row r="66" spans="1:3" x14ac:dyDescent="0.2">
      <c r="A66" s="144"/>
      <c r="B66" s="144"/>
      <c r="C66" s="144"/>
    </row>
    <row r="67" spans="1:3" x14ac:dyDescent="0.2">
      <c r="A67" s="144"/>
      <c r="B67" s="144"/>
      <c r="C67" s="144"/>
    </row>
    <row r="68" spans="1:3" x14ac:dyDescent="0.2">
      <c r="A68" s="144"/>
      <c r="B68" s="144"/>
      <c r="C68" s="144"/>
    </row>
  </sheetData>
  <mergeCells count="1">
    <mergeCell ref="A7:C7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13" zoomScaleNormal="100" workbookViewId="0">
      <selection activeCell="B36" sqref="B36"/>
    </sheetView>
  </sheetViews>
  <sheetFormatPr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customWidth="1"/>
    <col min="5" max="5" width="13.7109375" style="1" customWidth="1"/>
    <col min="6" max="16384" width="9.140625" style="1"/>
  </cols>
  <sheetData>
    <row r="1" spans="1:3" x14ac:dyDescent="0.2">
      <c r="A1" s="95" t="s">
        <v>226</v>
      </c>
    </row>
    <row r="3" spans="1:3" x14ac:dyDescent="0.2">
      <c r="A3" s="282" t="s">
        <v>279</v>
      </c>
    </row>
    <row r="4" spans="1:3" x14ac:dyDescent="0.2">
      <c r="A4" s="282" t="s">
        <v>278</v>
      </c>
    </row>
    <row r="5" spans="1:3" ht="13.5" thickBot="1" x14ac:dyDescent="0.25"/>
    <row r="6" spans="1:3" ht="18" x14ac:dyDescent="0.25">
      <c r="B6" s="340" t="s">
        <v>213</v>
      </c>
      <c r="C6" s="341"/>
    </row>
    <row r="7" spans="1:3" ht="15" x14ac:dyDescent="0.25">
      <c r="A7" s="144"/>
      <c r="B7" s="143" t="s">
        <v>194</v>
      </c>
      <c r="C7" s="185"/>
    </row>
    <row r="8" spans="1:3" ht="15" x14ac:dyDescent="0.25">
      <c r="A8" s="144"/>
      <c r="B8" s="145" t="s">
        <v>115</v>
      </c>
      <c r="C8" s="146">
        <v>2100</v>
      </c>
    </row>
    <row r="9" spans="1:3" ht="15" x14ac:dyDescent="0.25">
      <c r="A9" s="144"/>
      <c r="B9" s="147" t="s">
        <v>116</v>
      </c>
      <c r="C9" s="146">
        <v>2031</v>
      </c>
    </row>
    <row r="10" spans="1:3" ht="14.25" x14ac:dyDescent="0.2">
      <c r="A10" s="144"/>
      <c r="B10" s="186" t="s">
        <v>117</v>
      </c>
      <c r="C10" s="187">
        <v>44</v>
      </c>
    </row>
    <row r="11" spans="1:3" ht="14.25" x14ac:dyDescent="0.2">
      <c r="A11" s="144"/>
      <c r="B11" s="186" t="s">
        <v>118</v>
      </c>
      <c r="C11" s="187">
        <v>1192</v>
      </c>
    </row>
    <row r="12" spans="1:3" ht="14.25" x14ac:dyDescent="0.2">
      <c r="A12" s="144"/>
      <c r="B12" s="186" t="s">
        <v>119</v>
      </c>
      <c r="C12" s="187">
        <v>372</v>
      </c>
    </row>
    <row r="13" spans="1:3" ht="14.25" x14ac:dyDescent="0.2">
      <c r="A13" s="144"/>
      <c r="B13" s="186" t="s">
        <v>120</v>
      </c>
      <c r="C13" s="187">
        <v>22</v>
      </c>
    </row>
    <row r="14" spans="1:3" ht="14.25" x14ac:dyDescent="0.2">
      <c r="A14" s="144"/>
      <c r="B14" s="186" t="s">
        <v>121</v>
      </c>
      <c r="C14" s="187">
        <v>350</v>
      </c>
    </row>
    <row r="15" spans="1:3" ht="14.25" x14ac:dyDescent="0.2">
      <c r="A15" s="144"/>
      <c r="B15" s="186" t="s">
        <v>122</v>
      </c>
      <c r="C15" s="187">
        <v>1</v>
      </c>
    </row>
    <row r="16" spans="1:3" ht="14.25" x14ac:dyDescent="0.2">
      <c r="A16" s="144"/>
      <c r="B16" s="186" t="s">
        <v>123</v>
      </c>
      <c r="C16" s="187">
        <v>30</v>
      </c>
    </row>
    <row r="17" spans="1:5" ht="14.25" x14ac:dyDescent="0.2">
      <c r="A17" s="144"/>
      <c r="B17" s="188" t="s">
        <v>124</v>
      </c>
      <c r="C17" s="189">
        <v>0</v>
      </c>
    </row>
    <row r="18" spans="1:5" ht="14.25" x14ac:dyDescent="0.2">
      <c r="A18" s="144"/>
      <c r="B18" s="288" t="s">
        <v>274</v>
      </c>
      <c r="C18" s="189">
        <v>0</v>
      </c>
    </row>
    <row r="19" spans="1:5" ht="15" x14ac:dyDescent="0.25">
      <c r="A19" s="144" t="s">
        <v>125</v>
      </c>
      <c r="B19" s="143" t="s">
        <v>126</v>
      </c>
      <c r="C19" s="185"/>
    </row>
    <row r="20" spans="1:5" ht="14.25" x14ac:dyDescent="0.2">
      <c r="A20" s="144"/>
      <c r="B20" s="190" t="s">
        <v>276</v>
      </c>
      <c r="C20" s="191">
        <v>4625</v>
      </c>
    </row>
    <row r="21" spans="1:5" ht="14.25" x14ac:dyDescent="0.2">
      <c r="A21" s="144"/>
      <c r="B21" s="186" t="s">
        <v>277</v>
      </c>
      <c r="C21" s="187">
        <v>4694</v>
      </c>
    </row>
    <row r="22" spans="1:5" ht="14.25" x14ac:dyDescent="0.2">
      <c r="B22" s="186" t="s">
        <v>275</v>
      </c>
      <c r="C22" s="281">
        <f>C8-C9</f>
        <v>69</v>
      </c>
    </row>
    <row r="23" spans="1:5" ht="14.25" x14ac:dyDescent="0.2">
      <c r="B23" s="192"/>
      <c r="C23" s="193"/>
    </row>
    <row r="24" spans="1:5" s="95" customFormat="1" ht="15" x14ac:dyDescent="0.25">
      <c r="B24" s="145" t="s">
        <v>128</v>
      </c>
      <c r="C24" s="194">
        <f>MEDIAN(C20,C21)</f>
        <v>4659.5</v>
      </c>
    </row>
    <row r="25" spans="1:5" ht="15" x14ac:dyDescent="0.25">
      <c r="B25" s="147" t="s">
        <v>272</v>
      </c>
      <c r="C25" s="286">
        <f>C11/C24</f>
        <v>0.25582144006867691</v>
      </c>
    </row>
    <row r="26" spans="1:5" ht="15" x14ac:dyDescent="0.25">
      <c r="B26" s="147" t="s">
        <v>273</v>
      </c>
      <c r="C26" s="286">
        <f>MEDIAN(C8,C9)/C24</f>
        <v>0.44328790642772831</v>
      </c>
      <c r="E26" s="255"/>
    </row>
    <row r="27" spans="1:5" s="95" customFormat="1" ht="15" x14ac:dyDescent="0.25">
      <c r="B27" s="147" t="s">
        <v>232</v>
      </c>
      <c r="C27" s="284">
        <f>12/C26</f>
        <v>27.070442992011618</v>
      </c>
    </row>
    <row r="28" spans="1:5" ht="15" x14ac:dyDescent="0.25">
      <c r="B28" s="147" t="s">
        <v>127</v>
      </c>
      <c r="C28" s="149">
        <v>360</v>
      </c>
    </row>
    <row r="29" spans="1:5" ht="15" x14ac:dyDescent="0.25">
      <c r="B29" s="147" t="s">
        <v>227</v>
      </c>
      <c r="C29" s="149">
        <v>10</v>
      </c>
    </row>
    <row r="30" spans="1:5" ht="15" x14ac:dyDescent="0.25">
      <c r="B30" s="145" t="s">
        <v>228</v>
      </c>
      <c r="C30" s="148">
        <v>30</v>
      </c>
    </row>
    <row r="31" spans="1:5" ht="15" x14ac:dyDescent="0.25">
      <c r="B31" s="145" t="s">
        <v>229</v>
      </c>
      <c r="C31" s="148">
        <v>30</v>
      </c>
    </row>
    <row r="32" spans="1:5" s="95" customFormat="1" ht="15" x14ac:dyDescent="0.25">
      <c r="B32" s="145" t="s">
        <v>130</v>
      </c>
      <c r="C32" s="148">
        <f>30+(3*TRUNC(1/C26))</f>
        <v>36</v>
      </c>
    </row>
    <row r="33" spans="2:7" s="95" customFormat="1" ht="15" x14ac:dyDescent="0.25">
      <c r="B33" s="147" t="s">
        <v>39</v>
      </c>
      <c r="C33" s="285">
        <v>0.08</v>
      </c>
    </row>
    <row r="34" spans="2:7" s="95" customFormat="1" ht="15.75" thickBot="1" x14ac:dyDescent="0.3">
      <c r="B34" s="150" t="s">
        <v>129</v>
      </c>
      <c r="C34" s="287">
        <v>0.4</v>
      </c>
    </row>
    <row r="35" spans="2:7" x14ac:dyDescent="0.2">
      <c r="B35" s="95" t="s">
        <v>280</v>
      </c>
      <c r="C35" s="95"/>
      <c r="D35" s="95"/>
      <c r="E35" s="95"/>
      <c r="F35" s="95"/>
      <c r="G35" s="95"/>
    </row>
  </sheetData>
  <mergeCells count="1">
    <mergeCell ref="B6:C6"/>
  </mergeCells>
  <pageMargins left="0.25" right="0.25" top="0.75" bottom="0.75" header="0.3" footer="0.3"/>
  <pageSetup paperSize="9" scale="98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C17" sqref="C17"/>
    </sheetView>
  </sheetViews>
  <sheetFormatPr defaultRowHeight="12.75" x14ac:dyDescent="0.2"/>
  <cols>
    <col min="1" max="1" width="41.85546875" bestFit="1" customWidth="1"/>
    <col min="2" max="2" width="5.5703125" bestFit="1" customWidth="1"/>
    <col min="4" max="4" width="9.7109375" bestFit="1" customWidth="1"/>
    <col min="5" max="5" width="8" style="109" bestFit="1" customWidth="1"/>
    <col min="6" max="6" width="9.7109375" bestFit="1" customWidth="1"/>
  </cols>
  <sheetData>
    <row r="1" spans="1:8" s="133" customFormat="1" ht="14.25" x14ac:dyDescent="0.2">
      <c r="A1" s="9" t="s">
        <v>192</v>
      </c>
      <c r="B1" s="131"/>
      <c r="C1" s="131"/>
      <c r="E1" s="134"/>
    </row>
    <row r="2" spans="1:8" s="133" customFormat="1" ht="14.25" x14ac:dyDescent="0.2">
      <c r="A2" s="126" t="s">
        <v>233</v>
      </c>
      <c r="B2" s="131"/>
      <c r="C2" s="131"/>
      <c r="E2" s="134"/>
    </row>
    <row r="3" spans="1:8" s="133" customFormat="1" ht="14.25" x14ac:dyDescent="0.2">
      <c r="A3" s="7" t="s">
        <v>193</v>
      </c>
      <c r="B3" s="131"/>
      <c r="C3" s="131"/>
      <c r="E3" s="134"/>
    </row>
    <row r="4" spans="1:8" s="133" customFormat="1" ht="14.25" x14ac:dyDescent="0.2">
      <c r="A4" s="7"/>
      <c r="B4" s="131"/>
      <c r="C4" s="131"/>
      <c r="E4" s="134"/>
    </row>
    <row r="5" spans="1:8" s="2" customFormat="1" ht="15.6" customHeight="1" x14ac:dyDescent="0.2">
      <c r="A5" s="280"/>
      <c r="B5" s="125"/>
      <c r="C5" s="125"/>
      <c r="D5" s="125"/>
      <c r="E5" s="125"/>
      <c r="F5" s="125"/>
      <c r="G5" s="4"/>
    </row>
    <row r="6" spans="1:8" s="2" customFormat="1" ht="16.5" customHeight="1" x14ac:dyDescent="0.2">
      <c r="A6" s="280"/>
      <c r="B6" s="3"/>
      <c r="C6" s="3"/>
      <c r="D6" s="4"/>
      <c r="E6" s="4"/>
      <c r="F6" s="4"/>
      <c r="G6" s="4"/>
    </row>
    <row r="7" spans="1:8" s="133" customFormat="1" ht="15" thickBot="1" x14ac:dyDescent="0.25">
      <c r="B7" s="131"/>
      <c r="C7" s="131"/>
      <c r="E7" s="134"/>
    </row>
    <row r="8" spans="1:8" ht="15.75" x14ac:dyDescent="0.2">
      <c r="A8" s="347" t="s">
        <v>214</v>
      </c>
      <c r="B8" s="348"/>
      <c r="C8" s="348"/>
      <c r="D8" s="348"/>
      <c r="E8" s="348"/>
      <c r="F8" s="349"/>
    </row>
    <row r="9" spans="1:8" ht="16.5" thickBot="1" x14ac:dyDescent="0.25">
      <c r="A9" s="240"/>
      <c r="B9" s="241"/>
      <c r="C9" s="241"/>
      <c r="D9" s="241"/>
      <c r="E9" s="241"/>
      <c r="F9" s="242"/>
    </row>
    <row r="10" spans="1:8" ht="15" x14ac:dyDescent="0.25">
      <c r="A10" s="195"/>
      <c r="B10" s="132"/>
      <c r="C10" s="132"/>
      <c r="D10" s="344" t="s">
        <v>230</v>
      </c>
      <c r="E10" s="345"/>
      <c r="F10" s="346"/>
      <c r="G10" s="133"/>
      <c r="H10" s="133"/>
    </row>
    <row r="11" spans="1:8" ht="15" thickBot="1" x14ac:dyDescent="0.25">
      <c r="A11" s="192"/>
      <c r="B11" s="196"/>
      <c r="C11" s="196"/>
      <c r="D11" s="197" t="s">
        <v>180</v>
      </c>
      <c r="E11" s="198" t="s">
        <v>181</v>
      </c>
      <c r="F11" s="199" t="s">
        <v>182</v>
      </c>
      <c r="G11" s="133"/>
      <c r="H11" s="133"/>
    </row>
    <row r="12" spans="1:8" ht="14.25" x14ac:dyDescent="0.2">
      <c r="A12" s="200" t="s">
        <v>71</v>
      </c>
      <c r="B12" s="201" t="s">
        <v>72</v>
      </c>
      <c r="C12" s="202">
        <v>5.0799999999999998E-2</v>
      </c>
      <c r="D12" s="223">
        <v>2.9700000000000001E-2</v>
      </c>
      <c r="E12" s="224">
        <v>5.0799999999999998E-2</v>
      </c>
      <c r="F12" s="225">
        <v>6.2700000000000006E-2</v>
      </c>
      <c r="G12" s="133"/>
      <c r="H12" s="133"/>
    </row>
    <row r="13" spans="1:8" ht="14.25" x14ac:dyDescent="0.2">
      <c r="A13" s="204" t="s">
        <v>73</v>
      </c>
      <c r="B13" s="205" t="s">
        <v>74</v>
      </c>
      <c r="C13" s="206">
        <v>1.3299999999999999E-2</v>
      </c>
      <c r="D13" s="223">
        <f>0.3%+0.56%</f>
        <v>8.6E-3</v>
      </c>
      <c r="E13" s="224">
        <f>0.48%+0.85%</f>
        <v>1.3299999999999999E-2</v>
      </c>
      <c r="F13" s="225">
        <f>0.82%+0.89%</f>
        <v>1.7099999999999997E-2</v>
      </c>
      <c r="G13" s="133"/>
      <c r="H13" s="133"/>
    </row>
    <row r="14" spans="1:8" ht="14.25" x14ac:dyDescent="0.2">
      <c r="A14" s="204" t="s">
        <v>75</v>
      </c>
      <c r="B14" s="205" t="s">
        <v>76</v>
      </c>
      <c r="C14" s="206">
        <v>0.1085</v>
      </c>
      <c r="D14" s="223">
        <v>7.7799999999999994E-2</v>
      </c>
      <c r="E14" s="224">
        <v>0.1085</v>
      </c>
      <c r="F14" s="225">
        <v>0.13550000000000001</v>
      </c>
      <c r="G14" s="133"/>
      <c r="H14" s="133"/>
    </row>
    <row r="15" spans="1:8" ht="14.25" x14ac:dyDescent="0.2">
      <c r="A15" s="204" t="s">
        <v>77</v>
      </c>
      <c r="B15" s="205" t="s">
        <v>78</v>
      </c>
      <c r="C15" s="207">
        <f>(1+E15)^(E16/252)-1</f>
        <v>2.8029103207938277E-3</v>
      </c>
      <c r="D15" s="223" t="s">
        <v>285</v>
      </c>
      <c r="E15" s="208">
        <v>2.75E-2</v>
      </c>
      <c r="F15" s="203"/>
      <c r="G15" s="133"/>
      <c r="H15" s="133"/>
    </row>
    <row r="16" spans="1:8" ht="14.25" x14ac:dyDescent="0.2">
      <c r="A16" s="204" t="s">
        <v>79</v>
      </c>
      <c r="B16" s="342" t="s">
        <v>80</v>
      </c>
      <c r="C16" s="206">
        <v>0.02</v>
      </c>
      <c r="D16" s="279" t="s">
        <v>183</v>
      </c>
      <c r="E16" s="209">
        <v>26</v>
      </c>
      <c r="F16" s="210"/>
      <c r="G16" s="133"/>
      <c r="H16" s="133"/>
    </row>
    <row r="17" spans="1:8" ht="15" thickBot="1" x14ac:dyDescent="0.25">
      <c r="A17" s="211" t="s">
        <v>81</v>
      </c>
      <c r="B17" s="343"/>
      <c r="C17" s="212">
        <v>3.6499999999999998E-2</v>
      </c>
      <c r="D17" s="186"/>
      <c r="E17" s="213"/>
      <c r="F17" s="210"/>
      <c r="G17" s="133"/>
      <c r="H17" s="133"/>
    </row>
    <row r="18" spans="1:8" ht="14.25" x14ac:dyDescent="0.2">
      <c r="A18" s="214" t="s">
        <v>82</v>
      </c>
      <c r="B18" s="215"/>
      <c r="C18" s="216"/>
      <c r="D18" s="186"/>
      <c r="E18" s="213"/>
      <c r="F18" s="210"/>
      <c r="G18" s="133"/>
      <c r="H18" s="133"/>
    </row>
    <row r="19" spans="1:8" ht="15" thickBot="1" x14ac:dyDescent="0.25">
      <c r="A19" s="217" t="s">
        <v>83</v>
      </c>
      <c r="B19" s="218"/>
      <c r="C19" s="219"/>
      <c r="D19" s="186"/>
      <c r="E19" s="213"/>
      <c r="F19" s="210"/>
      <c r="G19" s="133"/>
      <c r="H19" s="133"/>
    </row>
    <row r="20" spans="1:8" ht="15.75" thickBot="1" x14ac:dyDescent="0.25">
      <c r="A20" s="220" t="s">
        <v>84</v>
      </c>
      <c r="B20" s="221"/>
      <c r="C20" s="222">
        <f>ROUND((((1+C12+C13)*(1+C14)*(1+C15))/(1-(C16+C17))-1),4)</f>
        <v>0.25369999999999998</v>
      </c>
      <c r="D20" s="226">
        <v>0.21429999999999999</v>
      </c>
      <c r="E20" s="227">
        <v>0.2717</v>
      </c>
      <c r="F20" s="228">
        <v>0.3362</v>
      </c>
      <c r="G20" s="133"/>
      <c r="H20" s="133"/>
    </row>
    <row r="21" spans="1:8" ht="14.25" x14ac:dyDescent="0.2">
      <c r="A21" s="133"/>
      <c r="B21" s="133"/>
      <c r="C21" s="133"/>
      <c r="D21" s="133"/>
      <c r="E21" s="134"/>
      <c r="F21" s="133"/>
      <c r="G21" s="133"/>
      <c r="H21" s="133"/>
    </row>
    <row r="22" spans="1:8" ht="14.25" x14ac:dyDescent="0.2">
      <c r="A22" s="133"/>
      <c r="B22" s="133"/>
      <c r="C22" s="133"/>
      <c r="D22" s="133"/>
      <c r="E22" s="134"/>
      <c r="F22" s="133"/>
      <c r="G22" s="133"/>
      <c r="H22" s="133"/>
    </row>
    <row r="23" spans="1:8" ht="14.25" x14ac:dyDescent="0.2">
      <c r="A23" s="133"/>
      <c r="B23" s="133"/>
      <c r="C23" s="133"/>
      <c r="D23" s="133"/>
      <c r="E23" s="134"/>
      <c r="F23" s="133"/>
      <c r="G23" s="133"/>
      <c r="H23" s="133"/>
    </row>
    <row r="24" spans="1:8" ht="14.25" x14ac:dyDescent="0.2">
      <c r="A24" s="133"/>
      <c r="B24" s="133"/>
      <c r="C24" s="133"/>
      <c r="D24" s="133"/>
      <c r="E24" s="134"/>
      <c r="F24" s="133"/>
      <c r="G24" s="133"/>
      <c r="H24" s="133"/>
    </row>
  </sheetData>
  <mergeCells count="3">
    <mergeCell ref="B16:B17"/>
    <mergeCell ref="D10:F10"/>
    <mergeCell ref="A8:F8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sqref="A1:B1"/>
    </sheetView>
  </sheetViews>
  <sheetFormatPr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350" t="s">
        <v>216</v>
      </c>
      <c r="B1" s="351"/>
    </row>
    <row r="2" spans="1:2" s="95" customFormat="1" ht="19.5" customHeight="1" x14ac:dyDescent="0.2">
      <c r="A2" s="243" t="s">
        <v>195</v>
      </c>
      <c r="B2" s="244" t="s">
        <v>265</v>
      </c>
    </row>
    <row r="3" spans="1:2" ht="19.5" customHeight="1" x14ac:dyDescent="0.2">
      <c r="A3" s="152">
        <v>1</v>
      </c>
      <c r="B3" s="151">
        <v>33.629999999999995</v>
      </c>
    </row>
    <row r="4" spans="1:2" ht="19.5" customHeight="1" x14ac:dyDescent="0.2">
      <c r="A4" s="152">
        <v>2</v>
      </c>
      <c r="B4" s="151">
        <v>43.13</v>
      </c>
    </row>
    <row r="5" spans="1:2" ht="19.5" customHeight="1" x14ac:dyDescent="0.2">
      <c r="A5" s="152">
        <v>3</v>
      </c>
      <c r="B5" s="151">
        <v>48.68</v>
      </c>
    </row>
    <row r="6" spans="1:2" ht="19.5" customHeight="1" x14ac:dyDescent="0.2">
      <c r="A6" s="152">
        <v>4</v>
      </c>
      <c r="B6" s="151">
        <v>52.62</v>
      </c>
    </row>
    <row r="7" spans="1:2" ht="19.5" customHeight="1" x14ac:dyDescent="0.2">
      <c r="A7" s="152">
        <v>5</v>
      </c>
      <c r="B7" s="151">
        <v>55.679999999999993</v>
      </c>
    </row>
    <row r="8" spans="1:2" ht="19.5" customHeight="1" x14ac:dyDescent="0.2">
      <c r="A8" s="152">
        <v>6</v>
      </c>
      <c r="B8" s="151">
        <v>58.18</v>
      </c>
    </row>
    <row r="9" spans="1:2" ht="19.5" customHeight="1" x14ac:dyDescent="0.2">
      <c r="A9" s="152">
        <v>7</v>
      </c>
      <c r="B9" s="151">
        <v>60.29</v>
      </c>
    </row>
    <row r="10" spans="1:2" ht="19.5" customHeight="1" x14ac:dyDescent="0.2">
      <c r="A10" s="152">
        <v>8</v>
      </c>
      <c r="B10" s="151">
        <v>62.12</v>
      </c>
    </row>
    <row r="11" spans="1:2" ht="19.5" customHeight="1" x14ac:dyDescent="0.2">
      <c r="A11" s="152">
        <v>9</v>
      </c>
      <c r="B11" s="151">
        <v>63.73</v>
      </c>
    </row>
    <row r="12" spans="1:2" ht="19.5" customHeight="1" x14ac:dyDescent="0.2">
      <c r="A12" s="152">
        <v>10</v>
      </c>
      <c r="B12" s="151">
        <v>65.180000000000007</v>
      </c>
    </row>
    <row r="13" spans="1:2" ht="19.5" customHeight="1" x14ac:dyDescent="0.2">
      <c r="A13" s="152">
        <v>11</v>
      </c>
      <c r="B13" s="151">
        <v>66.47999999999999</v>
      </c>
    </row>
    <row r="14" spans="1:2" ht="19.5" customHeight="1" x14ac:dyDescent="0.2">
      <c r="A14" s="152">
        <v>12</v>
      </c>
      <c r="B14" s="151">
        <v>67.67</v>
      </c>
    </row>
    <row r="15" spans="1:2" ht="19.5" customHeight="1" x14ac:dyDescent="0.2">
      <c r="A15" s="152">
        <v>13</v>
      </c>
      <c r="B15" s="151">
        <v>68.77</v>
      </c>
    </row>
    <row r="16" spans="1:2" ht="19.5" customHeight="1" x14ac:dyDescent="0.2">
      <c r="A16" s="152">
        <v>14</v>
      </c>
      <c r="B16" s="151">
        <v>69.789999999999992</v>
      </c>
    </row>
    <row r="17" spans="1:2" ht="19.5" customHeight="1" thickBot="1" x14ac:dyDescent="0.25">
      <c r="A17" s="153">
        <v>15</v>
      </c>
      <c r="B17" s="154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C22" sqref="C22"/>
    </sheetView>
  </sheetViews>
  <sheetFormatPr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232" t="s">
        <v>220</v>
      </c>
    </row>
    <row r="2" spans="1:1" x14ac:dyDescent="0.2">
      <c r="A2" s="229"/>
    </row>
    <row r="3" spans="1:1" x14ac:dyDescent="0.2">
      <c r="A3" s="229" t="s">
        <v>234</v>
      </c>
    </row>
    <row r="4" spans="1:1" x14ac:dyDescent="0.2">
      <c r="A4" s="229"/>
    </row>
    <row r="5" spans="1:1" x14ac:dyDescent="0.2">
      <c r="A5" s="229"/>
    </row>
    <row r="6" spans="1:1" x14ac:dyDescent="0.2">
      <c r="A6" s="229"/>
    </row>
    <row r="7" spans="1:1" x14ac:dyDescent="0.2">
      <c r="A7" s="229"/>
    </row>
    <row r="8" spans="1:1" x14ac:dyDescent="0.2">
      <c r="A8" s="229"/>
    </row>
    <row r="9" spans="1:1" x14ac:dyDescent="0.2">
      <c r="A9" s="229"/>
    </row>
    <row r="10" spans="1:1" x14ac:dyDescent="0.2">
      <c r="A10" s="229"/>
    </row>
    <row r="11" spans="1:1" x14ac:dyDescent="0.2">
      <c r="A11" s="229"/>
    </row>
    <row r="12" spans="1:1" ht="19.5" x14ac:dyDescent="0.35">
      <c r="A12" s="230" t="s">
        <v>217</v>
      </c>
    </row>
    <row r="13" spans="1:1" ht="15" x14ac:dyDescent="0.2">
      <c r="A13" s="230" t="s">
        <v>101</v>
      </c>
    </row>
    <row r="14" spans="1:1" ht="15" x14ac:dyDescent="0.2">
      <c r="A14" s="230" t="s">
        <v>106</v>
      </c>
    </row>
    <row r="15" spans="1:1" ht="19.5" x14ac:dyDescent="0.35">
      <c r="A15" s="230" t="s">
        <v>218</v>
      </c>
    </row>
    <row r="16" spans="1:1" ht="19.5" x14ac:dyDescent="0.35">
      <c r="A16" s="230" t="s">
        <v>219</v>
      </c>
    </row>
    <row r="17" spans="1:1" ht="15.75" thickBot="1" x14ac:dyDescent="0.25">
      <c r="A17" s="231" t="s">
        <v>102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C18" sqref="C18"/>
    </sheetView>
  </sheetViews>
  <sheetFormatPr defaultRowHeight="12.75" x14ac:dyDescent="0.2"/>
  <cols>
    <col min="1" max="1" width="58.28515625" style="255" customWidth="1"/>
    <col min="2" max="2" width="11.140625" style="255" bestFit="1" customWidth="1"/>
    <col min="3" max="3" width="11.28515625" style="255" bestFit="1" customWidth="1"/>
    <col min="4" max="16384" width="9.140625" style="255"/>
  </cols>
  <sheetData>
    <row r="1" spans="1:7" x14ac:dyDescent="0.2">
      <c r="A1" s="9" t="s">
        <v>192</v>
      </c>
    </row>
    <row r="2" spans="1:7" x14ac:dyDescent="0.2">
      <c r="A2" s="260" t="s">
        <v>241</v>
      </c>
    </row>
    <row r="3" spans="1:7" x14ac:dyDescent="0.2">
      <c r="A3" s="260" t="s">
        <v>266</v>
      </c>
    </row>
    <row r="4" spans="1:7" x14ac:dyDescent="0.2">
      <c r="A4" s="5" t="s">
        <v>264</v>
      </c>
    </row>
    <row r="5" spans="1:7" x14ac:dyDescent="0.2">
      <c r="A5" s="5"/>
    </row>
    <row r="6" spans="1:7" s="2" customFormat="1" ht="15.6" customHeight="1" x14ac:dyDescent="0.2">
      <c r="A6" s="280" t="s">
        <v>271</v>
      </c>
      <c r="B6" s="125"/>
      <c r="C6" s="125"/>
      <c r="D6" s="125"/>
      <c r="E6" s="125"/>
      <c r="F6" s="125"/>
      <c r="G6" s="4"/>
    </row>
    <row r="7" spans="1:7" s="2" customFormat="1" ht="16.5" customHeight="1" x14ac:dyDescent="0.2">
      <c r="A7" s="280" t="s">
        <v>268</v>
      </c>
      <c r="B7" s="3"/>
      <c r="C7" s="3"/>
      <c r="D7" s="4"/>
      <c r="E7" s="4"/>
      <c r="F7" s="4"/>
      <c r="G7" s="4"/>
    </row>
    <row r="8" spans="1:7" ht="13.5" thickBot="1" x14ac:dyDescent="0.25"/>
    <row r="9" spans="1:7" ht="18" x14ac:dyDescent="0.25">
      <c r="A9" s="352" t="s">
        <v>261</v>
      </c>
      <c r="B9" s="353"/>
      <c r="C9" s="354"/>
    </row>
    <row r="10" spans="1:7" s="261" customFormat="1" ht="18" x14ac:dyDescent="0.25">
      <c r="A10" s="276"/>
      <c r="B10" s="275"/>
      <c r="C10" s="277"/>
    </row>
    <row r="11" spans="1:7" s="95" customFormat="1" ht="15" x14ac:dyDescent="0.25">
      <c r="A11" s="262" t="s">
        <v>262</v>
      </c>
      <c r="B11" s="263" t="s">
        <v>242</v>
      </c>
      <c r="C11" s="264" t="s">
        <v>133</v>
      </c>
    </row>
    <row r="12" spans="1:7" ht="14.25" x14ac:dyDescent="0.2">
      <c r="A12" s="265" t="s">
        <v>250</v>
      </c>
      <c r="B12" s="266" t="s">
        <v>243</v>
      </c>
      <c r="C12" s="187">
        <v>3810</v>
      </c>
    </row>
    <row r="13" spans="1:7" ht="14.25" x14ac:dyDescent="0.2">
      <c r="A13" s="186" t="s">
        <v>251</v>
      </c>
      <c r="B13" s="267" t="s">
        <v>248</v>
      </c>
      <c r="C13" s="268">
        <f>0.0762951*C12^0.2336249</f>
        <v>0.52370881739407538</v>
      </c>
    </row>
    <row r="14" spans="1:7" ht="14.25" x14ac:dyDescent="0.2">
      <c r="A14" s="186" t="s">
        <v>252</v>
      </c>
      <c r="B14" s="267" t="s">
        <v>249</v>
      </c>
      <c r="C14" s="269">
        <f>C12*C13/1000</f>
        <v>1.9953305942714272</v>
      </c>
    </row>
    <row r="15" spans="1:7" ht="14.25" x14ac:dyDescent="0.2">
      <c r="A15" s="186" t="s">
        <v>258</v>
      </c>
      <c r="B15" s="267" t="s">
        <v>244</v>
      </c>
      <c r="C15" s="270">
        <f>(C14*30)</f>
        <v>59.859917828142819</v>
      </c>
    </row>
    <row r="16" spans="1:7" ht="14.25" x14ac:dyDescent="0.2">
      <c r="A16" s="186" t="s">
        <v>254</v>
      </c>
      <c r="B16" s="267" t="s">
        <v>85</v>
      </c>
      <c r="C16" s="273">
        <v>4</v>
      </c>
    </row>
    <row r="17" spans="1:3" ht="14.25" x14ac:dyDescent="0.2">
      <c r="A17" s="186" t="s">
        <v>253</v>
      </c>
      <c r="B17" s="267" t="s">
        <v>249</v>
      </c>
      <c r="C17" s="269">
        <f>IFERROR(C14*7/C16,0)</f>
        <v>3.4918285399749975</v>
      </c>
    </row>
    <row r="18" spans="1:3" ht="14.25" x14ac:dyDescent="0.2">
      <c r="A18" s="265" t="s">
        <v>245</v>
      </c>
      <c r="B18" s="267" t="s">
        <v>246</v>
      </c>
      <c r="C18" s="210">
        <v>500</v>
      </c>
    </row>
    <row r="19" spans="1:3" ht="14.25" x14ac:dyDescent="0.2">
      <c r="A19" s="186" t="s">
        <v>259</v>
      </c>
      <c r="B19" s="267"/>
      <c r="C19" s="187">
        <v>1</v>
      </c>
    </row>
    <row r="20" spans="1:3" ht="14.25" x14ac:dyDescent="0.2">
      <c r="A20" s="265" t="s">
        <v>260</v>
      </c>
      <c r="B20" s="267" t="s">
        <v>247</v>
      </c>
      <c r="C20" s="187">
        <v>12</v>
      </c>
    </row>
    <row r="21" spans="1:3" ht="14.25" x14ac:dyDescent="0.2">
      <c r="A21" s="186" t="s">
        <v>255</v>
      </c>
      <c r="B21" s="267" t="s">
        <v>244</v>
      </c>
      <c r="C21" s="210">
        <f>IF(AND(C20&gt;=15,C19=1),5.8,C20/2)</f>
        <v>6</v>
      </c>
    </row>
    <row r="22" spans="1:3" ht="14.25" x14ac:dyDescent="0.2">
      <c r="A22" s="265" t="s">
        <v>256</v>
      </c>
      <c r="B22" s="267"/>
      <c r="C22" s="269">
        <f>IFERROR(C17/C21,0)</f>
        <v>0.58197142332916629</v>
      </c>
    </row>
    <row r="23" spans="1:3" ht="14.25" x14ac:dyDescent="0.2">
      <c r="A23" s="265" t="s">
        <v>263</v>
      </c>
      <c r="B23" s="267"/>
      <c r="C23" s="278">
        <v>4</v>
      </c>
    </row>
    <row r="24" spans="1:3" ht="15" thickBot="1" x14ac:dyDescent="0.25">
      <c r="A24" s="271" t="s">
        <v>257</v>
      </c>
      <c r="B24" s="272"/>
      <c r="C24" s="274">
        <f>IFERROR(C22/C23,0)</f>
        <v>0.14549285583229157</v>
      </c>
    </row>
  </sheetData>
  <mergeCells count="1">
    <mergeCell ref="A9:C9"/>
  </mergeCells>
  <conditionalFormatting sqref="C21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1. Coleta Domiciliar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AbaDeprec</vt:lpstr>
      <vt:lpstr>AbaRemun</vt:lpstr>
      <vt:lpstr>'1. Coleta Domiciliar'!Area_de_impressao</vt:lpstr>
      <vt:lpstr>'2.Encargos Sociais'!Area_de_impressao</vt:lpstr>
      <vt:lpstr>'1. Coleta Domiciliar'!Titulos_de_impressao</vt:lpstr>
    </vt:vector>
  </TitlesOfParts>
  <Company>dmlu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Assessoria Jurídica</cp:lastModifiedBy>
  <cp:lastPrinted>2022-11-21T18:53:34Z</cp:lastPrinted>
  <dcterms:created xsi:type="dcterms:W3CDTF">2000-12-13T10:02:50Z</dcterms:created>
  <dcterms:modified xsi:type="dcterms:W3CDTF">2022-11-22T18:07:04Z</dcterms:modified>
</cp:coreProperties>
</file>